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es\Documents\Fish&amp;Tips - HTML - Sakura - RWD\06_favorite\"/>
    </mc:Choice>
  </mc:AlternateContent>
  <bookViews>
    <workbookView xWindow="0" yWindow="0" windowWidth="27540" windowHeight="13170"/>
  </bookViews>
  <sheets>
    <sheet name="L 3.6m, 8-sec, 標準" sheetId="5" r:id="rId1"/>
    <sheet name="L 3.6m, 8-sec, やや重め" sheetId="10" r:id="rId2"/>
    <sheet name="L 3.6m, 6-sec, 標準" sheetId="9" r:id="rId3"/>
    <sheet name="L 3.6m, 6-sec, やや重め" sheetId="11" r:id="rId4"/>
    <sheet name="各種換算・対応表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1" l="1"/>
  <c r="D36" i="11"/>
  <c r="E36" i="11" s="1"/>
  <c r="H36" i="11" s="1"/>
  <c r="E35" i="11"/>
  <c r="H35" i="11" s="1"/>
  <c r="D35" i="11"/>
  <c r="D34" i="11"/>
  <c r="E34" i="11" s="1"/>
  <c r="H34" i="11" s="1"/>
  <c r="E33" i="11"/>
  <c r="H33" i="11" s="1"/>
  <c r="D33" i="11"/>
  <c r="D32" i="11"/>
  <c r="E32" i="11" s="1"/>
  <c r="H32" i="11" s="1"/>
  <c r="F24" i="11"/>
  <c r="C23" i="11"/>
  <c r="C22" i="11"/>
  <c r="C21" i="11"/>
  <c r="C20" i="11"/>
  <c r="C19" i="11"/>
  <c r="C18" i="11"/>
  <c r="C26" i="11" s="1"/>
  <c r="C13" i="11"/>
  <c r="C9" i="11"/>
  <c r="C10" i="11" s="1"/>
  <c r="C11" i="11" s="1"/>
  <c r="C14" i="11" s="1"/>
  <c r="C15" i="11" s="1"/>
  <c r="C8" i="11"/>
  <c r="C41" i="10"/>
  <c r="D38" i="10"/>
  <c r="E38" i="10" s="1"/>
  <c r="H38" i="10" s="1"/>
  <c r="D37" i="10"/>
  <c r="E37" i="10" s="1"/>
  <c r="H37" i="10" s="1"/>
  <c r="D36" i="10"/>
  <c r="E36" i="10" s="1"/>
  <c r="H36" i="10" s="1"/>
  <c r="D35" i="10"/>
  <c r="E35" i="10" s="1"/>
  <c r="H35" i="10" s="1"/>
  <c r="D34" i="10"/>
  <c r="E34" i="10" s="1"/>
  <c r="H34" i="10" s="1"/>
  <c r="F26" i="10"/>
  <c r="C13" i="10"/>
  <c r="C9" i="10"/>
  <c r="C10" i="10" s="1"/>
  <c r="C11" i="10" s="1"/>
  <c r="C8" i="10"/>
  <c r="C25" i="10" s="1"/>
  <c r="C39" i="9"/>
  <c r="E36" i="9"/>
  <c r="H36" i="9" s="1"/>
  <c r="D36" i="9"/>
  <c r="D35" i="9"/>
  <c r="E35" i="9" s="1"/>
  <c r="H35" i="9" s="1"/>
  <c r="D34" i="9"/>
  <c r="E34" i="9" s="1"/>
  <c r="H34" i="9" s="1"/>
  <c r="D33" i="9"/>
  <c r="E33" i="9" s="1"/>
  <c r="H33" i="9" s="1"/>
  <c r="E32" i="9"/>
  <c r="H32" i="9" s="1"/>
  <c r="D32" i="9"/>
  <c r="F24" i="9"/>
  <c r="C13" i="9"/>
  <c r="C10" i="9"/>
  <c r="C11" i="9" s="1"/>
  <c r="C9" i="9"/>
  <c r="C8" i="9"/>
  <c r="H34" i="5"/>
  <c r="D34" i="5"/>
  <c r="E34" i="5"/>
  <c r="H37" i="5"/>
  <c r="D38" i="5"/>
  <c r="E38" i="5"/>
  <c r="H38" i="5" s="1"/>
  <c r="C41" i="5"/>
  <c r="D36" i="5"/>
  <c r="E36" i="5" s="1"/>
  <c r="H36" i="5" s="1"/>
  <c r="D37" i="5"/>
  <c r="E37" i="5" s="1"/>
  <c r="D35" i="5"/>
  <c r="E35" i="5" s="1"/>
  <c r="H35" i="5" s="1"/>
  <c r="C9" i="5"/>
  <c r="C13" i="5"/>
  <c r="H23" i="11" l="1"/>
  <c r="H22" i="11"/>
  <c r="H21" i="11"/>
  <c r="H20" i="11"/>
  <c r="H19" i="11"/>
  <c r="H18" i="11"/>
  <c r="C24" i="11"/>
  <c r="C14" i="10"/>
  <c r="C15" i="10" s="1"/>
  <c r="C18" i="10"/>
  <c r="C19" i="10"/>
  <c r="C20" i="10"/>
  <c r="C21" i="10"/>
  <c r="C22" i="10"/>
  <c r="C23" i="10"/>
  <c r="C24" i="10"/>
  <c r="C14" i="9"/>
  <c r="C15" i="9" s="1"/>
  <c r="C18" i="9"/>
  <c r="C19" i="9"/>
  <c r="C20" i="9"/>
  <c r="C21" i="9"/>
  <c r="C22" i="9"/>
  <c r="C23" i="9"/>
  <c r="H24" i="11" l="1"/>
  <c r="C28" i="10"/>
  <c r="C26" i="10"/>
  <c r="H25" i="10"/>
  <c r="H24" i="10"/>
  <c r="H23" i="10"/>
  <c r="H22" i="10"/>
  <c r="H21" i="10"/>
  <c r="H20" i="10"/>
  <c r="H19" i="10"/>
  <c r="H18" i="10"/>
  <c r="H26" i="10" s="1"/>
  <c r="H23" i="9"/>
  <c r="H22" i="9"/>
  <c r="H21" i="9"/>
  <c r="H20" i="9"/>
  <c r="H19" i="9"/>
  <c r="H18" i="9"/>
  <c r="C24" i="9"/>
  <c r="C26" i="9"/>
  <c r="H24" i="9" l="1"/>
  <c r="C8" i="5" l="1"/>
  <c r="C20" i="5" s="1"/>
  <c r="C10" i="5"/>
  <c r="C11" i="5" l="1"/>
  <c r="C14" i="5" s="1"/>
  <c r="C15" i="5" s="1"/>
  <c r="C25" i="5"/>
  <c r="C23" i="5"/>
  <c r="C21" i="5"/>
  <c r="C19" i="5"/>
  <c r="C18" i="5"/>
  <c r="C24" i="5"/>
  <c r="C22" i="5"/>
  <c r="C26" i="5" l="1"/>
  <c r="F26" i="5" l="1"/>
  <c r="C28" i="5" s="1"/>
  <c r="H18" i="5" l="1"/>
  <c r="H20" i="5"/>
  <c r="H22" i="5"/>
  <c r="H24" i="5"/>
  <c r="H19" i="5"/>
  <c r="H21" i="5"/>
  <c r="H23" i="5"/>
  <c r="H25" i="5"/>
  <c r="H26" i="5" l="1"/>
</calcChain>
</file>

<file path=xl/comments1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  <comment ref="H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完成後の重量は、ご自分で測定された値を記入して下さい。</t>
        </r>
      </text>
    </comment>
    <comment ref="C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</commentList>
</comments>
</file>

<file path=xl/comments2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  <comment ref="H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完成後の重量は、ご自分で測定された値を記入して下さい。</t>
        </r>
      </text>
    </comment>
    <comment ref="C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</commentList>
</comments>
</file>

<file path=xl/comments3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  <comment ref="H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完成後の重量は、ご自分で測定された値を記入して下さい。</t>
        </r>
      </text>
    </comment>
    <comment ref="C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</commentList>
</comments>
</file>

<file path=xl/comments4.xml><?xml version="1.0" encoding="utf-8"?>
<comments xmlns="http://schemas.openxmlformats.org/spreadsheetml/2006/main">
  <authors>
    <author>伊藤剛</author>
  </authors>
  <commentList>
    <comment ref="C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  <comment ref="H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完成後の重量は、ご自分で測定された値を記入して下さい。</t>
        </r>
      </text>
    </comment>
    <comment ref="C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赤い数値は、お好みで変更して下さい。
関係する青い数値は自動的に算出されます。</t>
        </r>
      </text>
    </comment>
  </commentList>
</comments>
</file>

<file path=xl/sharedStrings.xml><?xml version="1.0" encoding="utf-8"?>
<sst xmlns="http://schemas.openxmlformats.org/spreadsheetml/2006/main" count="340" uniqueCount="82">
  <si>
    <t>全長</t>
  </si>
  <si>
    <t>m</t>
  </si>
  <si>
    <t>mm</t>
  </si>
  <si>
    <t>標準半径</t>
  </si>
  <si>
    <t>断面積</t>
  </si>
  <si>
    <t>比重</t>
  </si>
  <si>
    <t>１セクション１本当たり体積</t>
  </si>
  <si>
    <t>セクション長さ</t>
  </si>
  <si>
    <t>縒り本数</t>
  </si>
  <si>
    <t>全重量</t>
  </si>
  <si>
    <t>g</t>
  </si>
  <si>
    <t>材料ラインの全所用　長さ</t>
  </si>
  <si>
    <t>　完成後　全重量</t>
  </si>
  <si>
    <t>標準直径 (mm)</t>
  </si>
  <si>
    <t>標準直径</t>
  </si>
  <si>
    <t>素材</t>
  </si>
  <si>
    <t>ナイロン</t>
  </si>
  <si>
    <t>号（ごう）</t>
  </si>
  <si>
    <t>キログラム（kg）</t>
  </si>
  <si>
    <t>ポンド（lb）</t>
  </si>
  <si>
    <t>太さ（mm）</t>
  </si>
  <si>
    <t>0.454kg</t>
  </si>
  <si>
    <t>1lb</t>
  </si>
  <si>
    <t> 0.544kg</t>
  </si>
  <si>
    <r>
      <t> </t>
    </r>
    <r>
      <rPr>
        <sz val="14"/>
        <color rgb="FFFFFFFF"/>
        <rFont val="メイリオ"/>
        <family val="2"/>
        <charset val="128"/>
      </rPr>
      <t>1.2lb</t>
    </r>
  </si>
  <si>
    <t>0.726kg</t>
  </si>
  <si>
    <r>
      <t> </t>
    </r>
    <r>
      <rPr>
        <sz val="14"/>
        <color rgb="FFFFFFFF"/>
        <rFont val="メイリオ"/>
        <family val="2"/>
        <charset val="128"/>
      </rPr>
      <t>1.6lb</t>
    </r>
  </si>
  <si>
    <t>1.089kg</t>
  </si>
  <si>
    <r>
      <t> </t>
    </r>
    <r>
      <rPr>
        <sz val="14"/>
        <color rgb="FFFFFFFF"/>
        <rFont val="メイリオ"/>
        <family val="2"/>
        <charset val="128"/>
      </rPr>
      <t>2.4lb</t>
    </r>
  </si>
  <si>
    <t>1.361kg</t>
  </si>
  <si>
    <r>
      <t> </t>
    </r>
    <r>
      <rPr>
        <sz val="14"/>
        <color rgb="FFFFFFFF"/>
        <rFont val="メイリオ"/>
        <family val="2"/>
        <charset val="128"/>
      </rPr>
      <t>3lb</t>
    </r>
  </si>
  <si>
    <t> 1.814kg</t>
  </si>
  <si>
    <t>4lb</t>
  </si>
  <si>
    <t>2.177kg</t>
  </si>
  <si>
    <r>
      <t> </t>
    </r>
    <r>
      <rPr>
        <sz val="14"/>
        <color rgb="FFFFFFFF"/>
        <rFont val="メイリオ"/>
        <family val="2"/>
        <charset val="128"/>
      </rPr>
      <t>4.8lb</t>
    </r>
  </si>
  <si>
    <t>2.722kg</t>
  </si>
  <si>
    <r>
      <t> </t>
    </r>
    <r>
      <rPr>
        <sz val="14"/>
        <color rgb="FFFFFFFF"/>
        <rFont val="メイリオ"/>
        <family val="2"/>
        <charset val="128"/>
      </rPr>
      <t>6lb</t>
    </r>
  </si>
  <si>
    <t> 3.175kg</t>
  </si>
  <si>
    <r>
      <t> </t>
    </r>
    <r>
      <rPr>
        <sz val="14"/>
        <color rgb="FFFFFFFF"/>
        <rFont val="メイリオ"/>
        <family val="2"/>
        <charset val="128"/>
      </rPr>
      <t>7lb</t>
    </r>
  </si>
  <si>
    <t> 3.629kg</t>
  </si>
  <si>
    <r>
      <t> </t>
    </r>
    <r>
      <rPr>
        <sz val="14"/>
        <color rgb="FFFFFFFF"/>
        <rFont val="メイリオ"/>
        <family val="2"/>
        <charset val="128"/>
      </rPr>
      <t>8lb</t>
    </r>
  </si>
  <si>
    <t> 4.082kg</t>
  </si>
  <si>
    <t>9lb</t>
  </si>
  <si>
    <t>4.536kg</t>
  </si>
  <si>
    <r>
      <t> </t>
    </r>
    <r>
      <rPr>
        <sz val="14"/>
        <color rgb="FFFFFFFF"/>
        <rFont val="メイリオ"/>
        <family val="2"/>
        <charset val="128"/>
      </rPr>
      <t>10lb</t>
    </r>
  </si>
  <si>
    <t>4.990kg</t>
  </si>
  <si>
    <r>
      <t> </t>
    </r>
    <r>
      <rPr>
        <sz val="14"/>
        <color rgb="FFFFFFFF"/>
        <rFont val="メイリオ"/>
        <family val="2"/>
        <charset val="128"/>
      </rPr>
      <t>11lb</t>
    </r>
  </si>
  <si>
    <t> 5.443kg</t>
  </si>
  <si>
    <r>
      <t> </t>
    </r>
    <r>
      <rPr>
        <sz val="14"/>
        <color rgb="FFFFFFFF"/>
        <rFont val="メイリオ"/>
        <family val="2"/>
        <charset val="128"/>
      </rPr>
      <t>12lb</t>
    </r>
  </si>
  <si>
    <t>6.350kg</t>
  </si>
  <si>
    <t>14lb</t>
  </si>
  <si>
    <t>7.257kg</t>
  </si>
  <si>
    <r>
      <t> </t>
    </r>
    <r>
      <rPr>
        <sz val="14"/>
        <color rgb="FFFFFFFF"/>
        <rFont val="メイリオ"/>
        <family val="2"/>
        <charset val="128"/>
      </rPr>
      <t>16lb</t>
    </r>
  </si>
  <si>
    <t>9.072kg</t>
  </si>
  <si>
    <t>20lb</t>
  </si>
  <si>
    <t>ナイロン・フロロ・エステルの換算表</t>
  </si>
  <si>
    <t>ナイロン・フロロカーボンの比重</t>
  </si>
  <si>
    <t>フロロカーボン</t>
  </si>
  <si>
    <t>セクション No</t>
  </si>
  <si>
    <t>号数</t>
  </si>
  <si>
    <t>セクション分割数</t>
  </si>
  <si>
    <t>１セクション１本当たり重量</t>
  </si>
  <si>
    <t>ラインの合計本数</t>
  </si>
  <si>
    <t>１セクションの長さ</t>
  </si>
  <si>
    <t>素材の１立方ミリ当たり重量</t>
  </si>
  <si>
    <t>水１cc（１立方cm = 1,000立方mm）で 1.0g　すなわち 1立方mm では、1.0g / 1,000 = 0.001g</t>
  </si>
  <si>
    <t> 0.274</t>
  </si>
  <si>
    <t>号</t>
  </si>
  <si>
    <t>テーパーラインの全長</t>
  </si>
  <si>
    <t>平方mm</t>
  </si>
  <si>
    <t>立方mm</t>
  </si>
  <si>
    <t xml:space="preserve"> = 体積 × 素材の１立方ミリ当たり重量</t>
  </si>
  <si>
    <t xml:space="preserve"> = セクション長さ × 断面積</t>
  </si>
  <si>
    <t>使用ライン</t>
  </si>
  <si>
    <t>自作テーパーライン　デザイン表</t>
  </si>
  <si>
    <t>断面積 (平方mm）</t>
  </si>
  <si>
    <t>フロロ　レベルライン　全重量</t>
  </si>
  <si>
    <t>フロロレベルラインとの比較</t>
  </si>
  <si>
    <t>フロロの１立方ミリ当たり重量</t>
  </si>
  <si>
    <t>フロロ　比重</t>
  </si>
  <si>
    <t>１セクション重量</t>
  </si>
  <si>
    <t>ダイワ　ジャストロン　ナイロン　イエロー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</si>
</sst>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2" x14ac:knownFonts="1">
    <font>
      <sz val="14"/>
      <color theme="1"/>
      <name val="メイリオ"/>
      <family val="2"/>
      <charset val="128"/>
    </font>
    <font>
      <sz val="14"/>
      <color rgb="FFFF0000"/>
      <name val="メイリオ"/>
      <family val="2"/>
      <charset val="128"/>
    </font>
    <font>
      <sz val="14"/>
      <color rgb="FF0070C0"/>
      <name val="メイリオ"/>
      <family val="2"/>
      <charset val="128"/>
    </font>
    <font>
      <sz val="14"/>
      <color rgb="FFFFFFFF"/>
      <name val="メイリオ"/>
      <family val="2"/>
      <charset val="128"/>
    </font>
    <font>
      <b/>
      <sz val="13.5"/>
      <color theme="1"/>
      <name val="メイリオ"/>
      <family val="2"/>
      <charset val="128"/>
    </font>
    <font>
      <sz val="14"/>
      <name val="メイリオ"/>
      <family val="2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メイリオ"/>
      <family val="3"/>
      <charset val="128"/>
    </font>
    <font>
      <b/>
      <sz val="14"/>
      <color rgb="FF0070C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66" fontId="2" fillId="0" borderId="0" xfId="0" applyNumberFormat="1" applyFont="1"/>
    <xf numFmtId="0" fontId="8" fillId="0" borderId="0" xfId="0" applyFont="1"/>
    <xf numFmtId="0" fontId="10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1" fontId="1" fillId="0" borderId="1" xfId="0" applyNumberFormat="1" applyFont="1" applyBorder="1"/>
    <xf numFmtId="1" fontId="2" fillId="0" borderId="1" xfId="0" applyNumberFormat="1" applyFont="1" applyBorder="1"/>
    <xf numFmtId="165" fontId="2" fillId="0" borderId="1" xfId="0" applyNumberFormat="1" applyFont="1" applyBorder="1"/>
    <xf numFmtId="0" fontId="5" fillId="0" borderId="1" xfId="0" applyFont="1" applyBorder="1"/>
    <xf numFmtId="166" fontId="5" fillId="0" borderId="1" xfId="0" applyNumberFormat="1" applyFont="1" applyBorder="1"/>
    <xf numFmtId="0" fontId="0" fillId="0" borderId="2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165" fontId="2" fillId="0" borderId="8" xfId="0" applyNumberFormat="1" applyFont="1" applyBorder="1"/>
    <xf numFmtId="0" fontId="0" fillId="0" borderId="9" xfId="0" applyBorder="1"/>
    <xf numFmtId="0" fontId="7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0" fontId="2" fillId="0" borderId="1" xfId="0" applyFont="1" applyBorder="1"/>
    <xf numFmtId="164" fontId="1" fillId="3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Border="1"/>
    <xf numFmtId="2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right"/>
    </xf>
    <xf numFmtId="0" fontId="0" fillId="0" borderId="3" xfId="0" applyBorder="1"/>
    <xf numFmtId="0" fontId="5" fillId="0" borderId="6" xfId="0" applyFont="1" applyBorder="1"/>
    <xf numFmtId="0" fontId="2" fillId="0" borderId="6" xfId="0" applyFont="1" applyBorder="1"/>
    <xf numFmtId="0" fontId="11" fillId="0" borderId="5" xfId="0" applyFont="1" applyBorder="1" applyAlignment="1">
      <alignment horizontal="right"/>
    </xf>
    <xf numFmtId="0" fontId="0" fillId="0" borderId="8" xfId="0" applyBorder="1"/>
    <xf numFmtId="0" fontId="0" fillId="0" borderId="1" xfId="0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abSelected="1" zoomScaleNormal="100" workbookViewId="0">
      <selection activeCell="L15" sqref="L15"/>
    </sheetView>
  </sheetViews>
  <sheetFormatPr defaultRowHeight="22.5" x14ac:dyDescent="0.5"/>
  <cols>
    <col min="1" max="1" width="5.58203125" customWidth="1"/>
    <col min="2" max="2" width="22.83203125" customWidth="1"/>
    <col min="3" max="4" width="12.1640625" customWidth="1"/>
    <col min="5" max="5" width="14.332031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74</v>
      </c>
      <c r="C2" s="7"/>
      <c r="D2" t="s">
        <v>73</v>
      </c>
      <c r="E2" s="10" t="s">
        <v>81</v>
      </c>
    </row>
    <row r="3" spans="2:7" ht="23.25" thickBot="1" x14ac:dyDescent="0.55000000000000004">
      <c r="B3" s="8"/>
      <c r="C3" s="7"/>
    </row>
    <row r="4" spans="2:7" x14ac:dyDescent="0.5">
      <c r="B4" s="21" t="s">
        <v>15</v>
      </c>
      <c r="C4" s="22" t="s">
        <v>16</v>
      </c>
      <c r="D4" s="23"/>
      <c r="E4" s="6"/>
      <c r="F4" s="9"/>
    </row>
    <row r="5" spans="2:7" x14ac:dyDescent="0.5">
      <c r="B5" s="24" t="s">
        <v>59</v>
      </c>
      <c r="C5" s="14">
        <v>2</v>
      </c>
      <c r="D5" s="25" t="s">
        <v>67</v>
      </c>
    </row>
    <row r="6" spans="2:7" x14ac:dyDescent="0.5">
      <c r="B6" s="24" t="s">
        <v>68</v>
      </c>
      <c r="C6" s="15">
        <v>3.6</v>
      </c>
      <c r="D6" s="25" t="s">
        <v>1</v>
      </c>
    </row>
    <row r="7" spans="2:7" x14ac:dyDescent="0.5">
      <c r="B7" s="24" t="s">
        <v>60</v>
      </c>
      <c r="C7" s="16">
        <v>8</v>
      </c>
      <c r="D7" s="25"/>
    </row>
    <row r="8" spans="2:7" x14ac:dyDescent="0.5">
      <c r="B8" s="24" t="s">
        <v>63</v>
      </c>
      <c r="C8" s="17">
        <f>ROUND(C6*1000/C7,0)</f>
        <v>450</v>
      </c>
      <c r="D8" s="25" t="s">
        <v>2</v>
      </c>
    </row>
    <row r="9" spans="2:7" x14ac:dyDescent="0.5">
      <c r="B9" s="24" t="s">
        <v>14</v>
      </c>
      <c r="C9" s="18">
        <f>VLOOKUP(C5,各種換算・対応表!A3:D19,4,FALSE)</f>
        <v>0.23499999999999999</v>
      </c>
      <c r="D9" s="25" t="s">
        <v>2</v>
      </c>
    </row>
    <row r="10" spans="2:7" x14ac:dyDescent="0.5">
      <c r="B10" s="24" t="s">
        <v>3</v>
      </c>
      <c r="C10" s="18">
        <f>ROUND($C$9/2,4)</f>
        <v>0.11749999999999999</v>
      </c>
      <c r="D10" s="25" t="s">
        <v>2</v>
      </c>
    </row>
    <row r="11" spans="2:7" x14ac:dyDescent="0.5">
      <c r="B11" s="24" t="s">
        <v>4</v>
      </c>
      <c r="C11" s="18">
        <f>ROUND($C$10*$C$10*3.1416,4)</f>
        <v>4.3400000000000001E-2</v>
      </c>
      <c r="D11" s="25" t="s">
        <v>69</v>
      </c>
    </row>
    <row r="12" spans="2:7" x14ac:dyDescent="0.5">
      <c r="B12" s="24" t="s">
        <v>5</v>
      </c>
      <c r="C12" s="19">
        <v>1.1399999999999999</v>
      </c>
      <c r="D12" s="25"/>
    </row>
    <row r="13" spans="2:7" x14ac:dyDescent="0.5">
      <c r="B13" s="24" t="s">
        <v>64</v>
      </c>
      <c r="C13" s="20">
        <f>ROUND($C$12*0.001,5)</f>
        <v>1.14E-3</v>
      </c>
      <c r="D13" s="26" t="s">
        <v>10</v>
      </c>
      <c r="E13" s="11" t="s">
        <v>65</v>
      </c>
      <c r="F13" s="9"/>
      <c r="G13" s="5"/>
    </row>
    <row r="14" spans="2:7" x14ac:dyDescent="0.5">
      <c r="B14" s="24" t="s">
        <v>6</v>
      </c>
      <c r="C14" s="18">
        <f>ROUND($C$8*$C$11,4)</f>
        <v>19.53</v>
      </c>
      <c r="D14" s="25" t="s">
        <v>70</v>
      </c>
      <c r="E14" s="30" t="s">
        <v>72</v>
      </c>
    </row>
    <row r="15" spans="2:7" ht="23.25" thickBot="1" x14ac:dyDescent="0.55000000000000004">
      <c r="B15" s="27" t="s">
        <v>61</v>
      </c>
      <c r="C15" s="28">
        <f>ROUND(C14*C12/1000,4)</f>
        <v>2.23E-2</v>
      </c>
      <c r="D15" s="29" t="s">
        <v>10</v>
      </c>
      <c r="E15" s="30" t="s">
        <v>71</v>
      </c>
    </row>
    <row r="16" spans="2:7" ht="23.25" thickBot="1" x14ac:dyDescent="0.55000000000000004">
      <c r="C16" s="6"/>
    </row>
    <row r="17" spans="1:9" x14ac:dyDescent="0.5">
      <c r="B17" s="21" t="s">
        <v>58</v>
      </c>
      <c r="C17" s="43" t="s">
        <v>7</v>
      </c>
      <c r="D17" s="44"/>
      <c r="E17" s="44"/>
      <c r="F17" s="44"/>
      <c r="G17" s="44"/>
      <c r="H17" s="44"/>
      <c r="I17" s="23"/>
    </row>
    <row r="18" spans="1:9" x14ac:dyDescent="0.5">
      <c r="A18" s="1"/>
      <c r="B18" s="24">
        <v>1</v>
      </c>
      <c r="C18" s="31">
        <f>$C$8</f>
        <v>450</v>
      </c>
      <c r="D18" s="13" t="s">
        <v>2</v>
      </c>
      <c r="E18" s="12" t="s">
        <v>8</v>
      </c>
      <c r="F18" s="32">
        <v>8</v>
      </c>
      <c r="G18" s="12" t="s">
        <v>80</v>
      </c>
      <c r="H18" s="18">
        <f>ROUND($C$15,5)*$F18</f>
        <v>0.1784</v>
      </c>
      <c r="I18" s="25" t="s">
        <v>10</v>
      </c>
    </row>
    <row r="19" spans="1:9" x14ac:dyDescent="0.5">
      <c r="A19" s="1"/>
      <c r="B19" s="24">
        <v>2</v>
      </c>
      <c r="C19" s="31">
        <f t="shared" ref="C19:C25" si="0">$C$8</f>
        <v>450</v>
      </c>
      <c r="D19" s="13" t="s">
        <v>2</v>
      </c>
      <c r="E19" s="13"/>
      <c r="F19" s="32">
        <v>8</v>
      </c>
      <c r="G19" s="13"/>
      <c r="H19" s="18">
        <f t="shared" ref="H19:H25" si="1">$C$15*$F19</f>
        <v>0.1784</v>
      </c>
      <c r="I19" s="25" t="s">
        <v>10</v>
      </c>
    </row>
    <row r="20" spans="1:9" x14ac:dyDescent="0.5">
      <c r="A20" s="1"/>
      <c r="B20" s="24">
        <v>3</v>
      </c>
      <c r="C20" s="31">
        <f t="shared" si="0"/>
        <v>450</v>
      </c>
      <c r="D20" s="13" t="s">
        <v>2</v>
      </c>
      <c r="E20" s="13"/>
      <c r="F20" s="32">
        <v>7</v>
      </c>
      <c r="G20" s="13"/>
      <c r="H20" s="18">
        <f t="shared" si="1"/>
        <v>0.15610000000000002</v>
      </c>
      <c r="I20" s="25" t="s">
        <v>10</v>
      </c>
    </row>
    <row r="21" spans="1:9" x14ac:dyDescent="0.5">
      <c r="A21" s="1"/>
      <c r="B21" s="24">
        <v>4</v>
      </c>
      <c r="C21" s="31">
        <f t="shared" si="0"/>
        <v>450</v>
      </c>
      <c r="D21" s="13" t="s">
        <v>2</v>
      </c>
      <c r="E21" s="13"/>
      <c r="F21" s="32">
        <v>6</v>
      </c>
      <c r="G21" s="13"/>
      <c r="H21" s="18">
        <f t="shared" si="1"/>
        <v>0.1338</v>
      </c>
      <c r="I21" s="25" t="s">
        <v>10</v>
      </c>
    </row>
    <row r="22" spans="1:9" x14ac:dyDescent="0.5">
      <c r="A22" s="1"/>
      <c r="B22" s="24">
        <v>5</v>
      </c>
      <c r="C22" s="31">
        <f t="shared" si="0"/>
        <v>450</v>
      </c>
      <c r="D22" s="13" t="s">
        <v>2</v>
      </c>
      <c r="E22" s="13"/>
      <c r="F22" s="32">
        <v>5</v>
      </c>
      <c r="G22" s="13"/>
      <c r="H22" s="18">
        <f t="shared" si="1"/>
        <v>0.1115</v>
      </c>
      <c r="I22" s="25" t="s">
        <v>10</v>
      </c>
    </row>
    <row r="23" spans="1:9" x14ac:dyDescent="0.5">
      <c r="A23" s="1"/>
      <c r="B23" s="24">
        <v>6</v>
      </c>
      <c r="C23" s="31">
        <f t="shared" si="0"/>
        <v>450</v>
      </c>
      <c r="D23" s="13" t="s">
        <v>2</v>
      </c>
      <c r="E23" s="13"/>
      <c r="F23" s="32">
        <v>4</v>
      </c>
      <c r="G23" s="13"/>
      <c r="H23" s="18">
        <f t="shared" si="1"/>
        <v>8.9200000000000002E-2</v>
      </c>
      <c r="I23" s="25" t="s">
        <v>10</v>
      </c>
    </row>
    <row r="24" spans="1:9" x14ac:dyDescent="0.5">
      <c r="A24" s="1"/>
      <c r="B24" s="24">
        <v>7</v>
      </c>
      <c r="C24" s="31">
        <f t="shared" si="0"/>
        <v>450</v>
      </c>
      <c r="D24" s="13" t="s">
        <v>2</v>
      </c>
      <c r="E24" s="13"/>
      <c r="F24" s="32">
        <v>3</v>
      </c>
      <c r="G24" s="13"/>
      <c r="H24" s="18">
        <f t="shared" si="1"/>
        <v>6.6900000000000001E-2</v>
      </c>
      <c r="I24" s="25" t="s">
        <v>10</v>
      </c>
    </row>
    <row r="25" spans="1:9" x14ac:dyDescent="0.5">
      <c r="A25" s="1"/>
      <c r="B25" s="24">
        <v>8</v>
      </c>
      <c r="C25" s="31">
        <f t="shared" si="0"/>
        <v>450</v>
      </c>
      <c r="D25" s="13" t="s">
        <v>2</v>
      </c>
      <c r="E25" s="13"/>
      <c r="F25" s="32">
        <v>3</v>
      </c>
      <c r="G25" s="13"/>
      <c r="H25" s="18">
        <f t="shared" si="1"/>
        <v>6.6900000000000001E-2</v>
      </c>
      <c r="I25" s="25" t="s">
        <v>10</v>
      </c>
    </row>
    <row r="26" spans="1:9" x14ac:dyDescent="0.5">
      <c r="B26" s="24" t="s">
        <v>0</v>
      </c>
      <c r="C26" s="33">
        <f>ROUND((SUM(C18:C25)/1000),2)</f>
        <v>3.6</v>
      </c>
      <c r="D26" s="13" t="s">
        <v>1</v>
      </c>
      <c r="E26" s="13" t="s">
        <v>62</v>
      </c>
      <c r="F26" s="34">
        <f>SUM(F18:F25)</f>
        <v>44</v>
      </c>
      <c r="G26" s="12" t="s">
        <v>9</v>
      </c>
      <c r="H26" s="18">
        <f>SUM(H18:H25)</f>
        <v>0.98120000000000007</v>
      </c>
      <c r="I26" s="25" t="s">
        <v>10</v>
      </c>
    </row>
    <row r="27" spans="1:9" x14ac:dyDescent="0.5">
      <c r="B27" s="24"/>
      <c r="C27" s="13"/>
      <c r="D27" s="13"/>
      <c r="E27" s="13"/>
      <c r="F27" s="13"/>
      <c r="G27" s="13"/>
      <c r="H27" s="35"/>
      <c r="I27" s="25"/>
    </row>
    <row r="28" spans="1:9" x14ac:dyDescent="0.5">
      <c r="B28" s="24" t="s">
        <v>11</v>
      </c>
      <c r="C28" s="36">
        <f>C18*$F$26/1000</f>
        <v>19.8</v>
      </c>
      <c r="D28" s="13" t="s">
        <v>1</v>
      </c>
      <c r="E28" s="13"/>
      <c r="F28" s="13"/>
      <c r="G28" s="14" t="s">
        <v>12</v>
      </c>
      <c r="H28" s="37"/>
      <c r="I28" s="45" t="s">
        <v>10</v>
      </c>
    </row>
    <row r="29" spans="1:9" x14ac:dyDescent="0.5">
      <c r="B29" s="24"/>
      <c r="C29" s="13"/>
      <c r="D29" s="13"/>
      <c r="E29" s="13"/>
      <c r="F29" s="13"/>
      <c r="G29" s="14"/>
      <c r="H29" s="38"/>
      <c r="I29" s="45"/>
    </row>
    <row r="30" spans="1:9" x14ac:dyDescent="0.5">
      <c r="B30" s="24"/>
      <c r="C30" s="13"/>
      <c r="D30" s="13"/>
      <c r="E30" s="13"/>
      <c r="F30" s="13"/>
      <c r="G30" s="34"/>
      <c r="H30" s="39"/>
      <c r="I30" s="46"/>
    </row>
    <row r="31" spans="1:9" x14ac:dyDescent="0.5">
      <c r="B31" s="47" t="s">
        <v>77</v>
      </c>
      <c r="C31" s="40"/>
      <c r="D31" s="13"/>
      <c r="E31" s="13"/>
      <c r="F31" s="13"/>
      <c r="G31" s="13"/>
      <c r="H31" s="13"/>
      <c r="I31" s="25"/>
    </row>
    <row r="32" spans="1:9" x14ac:dyDescent="0.5">
      <c r="B32" s="24" t="s">
        <v>0</v>
      </c>
      <c r="C32" s="15">
        <v>3.6</v>
      </c>
      <c r="D32" s="13" t="s">
        <v>1</v>
      </c>
      <c r="E32" s="12"/>
      <c r="F32" s="13"/>
      <c r="G32" s="12"/>
      <c r="H32" s="12"/>
      <c r="I32" s="25"/>
    </row>
    <row r="33" spans="2:9" x14ac:dyDescent="0.5">
      <c r="B33" s="24"/>
      <c r="C33" s="40"/>
      <c r="D33" s="12" t="s">
        <v>13</v>
      </c>
      <c r="E33" s="12" t="s">
        <v>75</v>
      </c>
      <c r="F33" s="13"/>
      <c r="G33" s="49" t="s">
        <v>76</v>
      </c>
      <c r="H33" s="49"/>
      <c r="I33" s="25"/>
    </row>
    <row r="34" spans="2:9" x14ac:dyDescent="0.5">
      <c r="B34" s="24" t="s">
        <v>67</v>
      </c>
      <c r="C34" s="41">
        <v>2</v>
      </c>
      <c r="D34" s="35">
        <f>VLOOKUP(C34,各種換算・対応表!A2:D18,4,FALSE)</f>
        <v>0.23499999999999999</v>
      </c>
      <c r="E34" s="42">
        <f>ROUND((D34/2)*(D34/2)*3.1416,5)</f>
        <v>4.3369999999999999E-2</v>
      </c>
      <c r="F34" s="13"/>
      <c r="G34" s="12"/>
      <c r="H34" s="39">
        <f>ROUND($E34*$C$32*1000*$C$41,5)</f>
        <v>0.27790999999999999</v>
      </c>
      <c r="I34" s="25" t="s">
        <v>10</v>
      </c>
    </row>
    <row r="35" spans="2:9" x14ac:dyDescent="0.5">
      <c r="B35" s="24" t="s">
        <v>67</v>
      </c>
      <c r="C35" s="12">
        <v>3</v>
      </c>
      <c r="D35" s="35">
        <f>VLOOKUP(C35,各種換算・対応表!A3:D19,4,FALSE)</f>
        <v>0.28499999999999998</v>
      </c>
      <c r="E35" s="42">
        <f>ROUND((D35/2)*(D35/2)*3.1416,5)</f>
        <v>6.3789999999999999E-2</v>
      </c>
      <c r="F35" s="13"/>
      <c r="G35" s="12"/>
      <c r="H35" s="39">
        <f>ROUND($E35*$C$32*1000*$C$41,5)</f>
        <v>0.40877000000000002</v>
      </c>
      <c r="I35" s="25" t="s">
        <v>10</v>
      </c>
    </row>
    <row r="36" spans="2:9" x14ac:dyDescent="0.5">
      <c r="B36" s="24" t="s">
        <v>67</v>
      </c>
      <c r="C36" s="12">
        <v>3.5</v>
      </c>
      <c r="D36" s="35">
        <f>VLOOKUP(C36,各種換算・対応表!A4:D20,4,FALSE)</f>
        <v>0.31</v>
      </c>
      <c r="E36" s="42">
        <f t="shared" ref="E36:E38" si="2">ROUND((D36/2)*(D36/2)*3.1416,5)</f>
        <v>7.5480000000000005E-2</v>
      </c>
      <c r="F36" s="13"/>
      <c r="G36" s="12"/>
      <c r="H36" s="39">
        <f t="shared" ref="H36:H38" si="3">ROUND($E36*$C$32*1000*$C$41,5)</f>
        <v>0.48368</v>
      </c>
      <c r="I36" s="25" t="s">
        <v>10</v>
      </c>
    </row>
    <row r="37" spans="2:9" x14ac:dyDescent="0.5">
      <c r="B37" s="24" t="s">
        <v>67</v>
      </c>
      <c r="C37" s="13">
        <v>4</v>
      </c>
      <c r="D37" s="35">
        <f>VLOOKUP(C37,各種換算・対応表!A5:D21,4,FALSE)</f>
        <v>0.33</v>
      </c>
      <c r="E37" s="42">
        <f t="shared" si="2"/>
        <v>8.5529999999999995E-2</v>
      </c>
      <c r="F37" s="13"/>
      <c r="G37" s="13"/>
      <c r="H37" s="39">
        <f t="shared" si="3"/>
        <v>0.54808000000000001</v>
      </c>
      <c r="I37" s="25" t="s">
        <v>10</v>
      </c>
    </row>
    <row r="38" spans="2:9" x14ac:dyDescent="0.5">
      <c r="B38" s="24" t="s">
        <v>67</v>
      </c>
      <c r="C38" s="13">
        <v>5</v>
      </c>
      <c r="D38" s="35">
        <f>VLOOKUP(C38,各種換算・対応表!A6:D22,4,FALSE)</f>
        <v>0.37</v>
      </c>
      <c r="E38" s="42">
        <f t="shared" si="2"/>
        <v>0.10752</v>
      </c>
      <c r="F38" s="13"/>
      <c r="G38" s="13"/>
      <c r="H38" s="39">
        <f t="shared" si="3"/>
        <v>0.68898999999999999</v>
      </c>
      <c r="I38" s="25" t="s">
        <v>10</v>
      </c>
    </row>
    <row r="39" spans="2:9" x14ac:dyDescent="0.5">
      <c r="B39" s="24"/>
      <c r="C39" s="13"/>
      <c r="D39" s="13"/>
      <c r="E39" s="13"/>
      <c r="F39" s="13"/>
      <c r="G39" s="13"/>
      <c r="H39" s="13"/>
      <c r="I39" s="25"/>
    </row>
    <row r="40" spans="2:9" x14ac:dyDescent="0.5">
      <c r="B40" s="24" t="s">
        <v>79</v>
      </c>
      <c r="C40" s="13">
        <v>1.78</v>
      </c>
      <c r="D40" s="13"/>
      <c r="E40" s="13"/>
      <c r="F40" s="13"/>
      <c r="G40" s="13"/>
      <c r="H40" s="13"/>
      <c r="I40" s="25"/>
    </row>
    <row r="41" spans="2:9" ht="23.25" thickBot="1" x14ac:dyDescent="0.55000000000000004">
      <c r="B41" s="27" t="s">
        <v>78</v>
      </c>
      <c r="C41" s="48">
        <f>ROUND($C$40*0.001,5)</f>
        <v>1.7799999999999999E-3</v>
      </c>
      <c r="D41" s="48" t="s">
        <v>10</v>
      </c>
      <c r="E41" s="48"/>
      <c r="F41" s="48"/>
      <c r="G41" s="48"/>
      <c r="H41" s="48"/>
      <c r="I41" s="29"/>
    </row>
  </sheetData>
  <mergeCells count="1">
    <mergeCell ref="G33:H33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1"/>
  <sheetViews>
    <sheetView topLeftCell="A4" zoomScaleNormal="100" workbookViewId="0">
      <selection activeCell="P26" sqref="P26"/>
    </sheetView>
  </sheetViews>
  <sheetFormatPr defaultRowHeight="22.5" x14ac:dyDescent="0.5"/>
  <cols>
    <col min="1" max="1" width="5.58203125" customWidth="1"/>
    <col min="2" max="2" width="22.83203125" customWidth="1"/>
    <col min="3" max="4" width="12.1640625" customWidth="1"/>
    <col min="5" max="5" width="14.332031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74</v>
      </c>
      <c r="C2" s="7"/>
      <c r="D2" t="s">
        <v>73</v>
      </c>
      <c r="E2" s="10" t="s">
        <v>81</v>
      </c>
    </row>
    <row r="3" spans="2:7" ht="23.25" thickBot="1" x14ac:dyDescent="0.55000000000000004">
      <c r="B3" s="8"/>
      <c r="C3" s="7"/>
    </row>
    <row r="4" spans="2:7" x14ac:dyDescent="0.5">
      <c r="B4" s="21" t="s">
        <v>15</v>
      </c>
      <c r="C4" s="22" t="s">
        <v>16</v>
      </c>
      <c r="D4" s="23"/>
      <c r="E4" s="7"/>
      <c r="F4" s="9"/>
    </row>
    <row r="5" spans="2:7" x14ac:dyDescent="0.5">
      <c r="B5" s="24" t="s">
        <v>59</v>
      </c>
      <c r="C5" s="14">
        <v>3</v>
      </c>
      <c r="D5" s="25" t="s">
        <v>67</v>
      </c>
    </row>
    <row r="6" spans="2:7" x14ac:dyDescent="0.5">
      <c r="B6" s="24" t="s">
        <v>68</v>
      </c>
      <c r="C6" s="15">
        <v>3.6</v>
      </c>
      <c r="D6" s="25" t="s">
        <v>1</v>
      </c>
    </row>
    <row r="7" spans="2:7" x14ac:dyDescent="0.5">
      <c r="B7" s="24" t="s">
        <v>60</v>
      </c>
      <c r="C7" s="16">
        <v>8</v>
      </c>
      <c r="D7" s="25"/>
    </row>
    <row r="8" spans="2:7" x14ac:dyDescent="0.5">
      <c r="B8" s="24" t="s">
        <v>63</v>
      </c>
      <c r="C8" s="17">
        <f>ROUND(C6*1000/C7,0)</f>
        <v>450</v>
      </c>
      <c r="D8" s="25" t="s">
        <v>2</v>
      </c>
    </row>
    <row r="9" spans="2:7" x14ac:dyDescent="0.5">
      <c r="B9" s="24" t="s">
        <v>14</v>
      </c>
      <c r="C9" s="18">
        <f>VLOOKUP(C5,各種換算・対応表!A3:D19,4,FALSE)</f>
        <v>0.28499999999999998</v>
      </c>
      <c r="D9" s="25" t="s">
        <v>2</v>
      </c>
    </row>
    <row r="10" spans="2:7" x14ac:dyDescent="0.5">
      <c r="B10" s="24" t="s">
        <v>3</v>
      </c>
      <c r="C10" s="18">
        <f>ROUND($C$9/2,4)</f>
        <v>0.14249999999999999</v>
      </c>
      <c r="D10" s="25" t="s">
        <v>2</v>
      </c>
    </row>
    <row r="11" spans="2:7" x14ac:dyDescent="0.5">
      <c r="B11" s="24" t="s">
        <v>4</v>
      </c>
      <c r="C11" s="18">
        <f>ROUND($C$10*$C$10*3.1416,4)</f>
        <v>6.3799999999999996E-2</v>
      </c>
      <c r="D11" s="25" t="s">
        <v>69</v>
      </c>
    </row>
    <row r="12" spans="2:7" x14ac:dyDescent="0.5">
      <c r="B12" s="24" t="s">
        <v>5</v>
      </c>
      <c r="C12" s="19">
        <v>1.1399999999999999</v>
      </c>
      <c r="D12" s="25"/>
    </row>
    <row r="13" spans="2:7" x14ac:dyDescent="0.5">
      <c r="B13" s="24" t="s">
        <v>64</v>
      </c>
      <c r="C13" s="20">
        <f>ROUND($C$12*0.001,5)</f>
        <v>1.14E-3</v>
      </c>
      <c r="D13" s="26" t="s">
        <v>10</v>
      </c>
      <c r="E13" s="11" t="s">
        <v>65</v>
      </c>
      <c r="F13" s="9"/>
      <c r="G13" s="5"/>
    </row>
    <row r="14" spans="2:7" x14ac:dyDescent="0.5">
      <c r="B14" s="24" t="s">
        <v>6</v>
      </c>
      <c r="C14" s="18">
        <f>ROUND($C$8*$C$11,4)</f>
        <v>28.71</v>
      </c>
      <c r="D14" s="25" t="s">
        <v>70</v>
      </c>
      <c r="E14" s="30" t="s">
        <v>72</v>
      </c>
    </row>
    <row r="15" spans="2:7" ht="23.25" thickBot="1" x14ac:dyDescent="0.55000000000000004">
      <c r="B15" s="27" t="s">
        <v>61</v>
      </c>
      <c r="C15" s="28">
        <f>ROUND(C14*C12/1000,4)</f>
        <v>3.27E-2</v>
      </c>
      <c r="D15" s="29" t="s">
        <v>10</v>
      </c>
      <c r="E15" s="30" t="s">
        <v>71</v>
      </c>
    </row>
    <row r="16" spans="2:7" ht="23.25" thickBot="1" x14ac:dyDescent="0.55000000000000004">
      <c r="C16" s="7"/>
    </row>
    <row r="17" spans="1:9" x14ac:dyDescent="0.5">
      <c r="B17" s="21" t="s">
        <v>58</v>
      </c>
      <c r="C17" s="43" t="s">
        <v>7</v>
      </c>
      <c r="D17" s="44"/>
      <c r="E17" s="44"/>
      <c r="F17" s="44"/>
      <c r="G17" s="44"/>
      <c r="H17" s="44"/>
      <c r="I17" s="23"/>
    </row>
    <row r="18" spans="1:9" x14ac:dyDescent="0.5">
      <c r="A18" s="1"/>
      <c r="B18" s="24">
        <v>1</v>
      </c>
      <c r="C18" s="31">
        <f>$C$8</f>
        <v>450</v>
      </c>
      <c r="D18" s="13" t="s">
        <v>2</v>
      </c>
      <c r="E18" s="12" t="s">
        <v>8</v>
      </c>
      <c r="F18" s="32">
        <v>8</v>
      </c>
      <c r="G18" s="12" t="s">
        <v>80</v>
      </c>
      <c r="H18" s="18">
        <f>ROUND($C$15,5)*$F18</f>
        <v>0.2616</v>
      </c>
      <c r="I18" s="25" t="s">
        <v>10</v>
      </c>
    </row>
    <row r="19" spans="1:9" x14ac:dyDescent="0.5">
      <c r="A19" s="1"/>
      <c r="B19" s="24">
        <v>2</v>
      </c>
      <c r="C19" s="31">
        <f t="shared" ref="C19:C25" si="0">$C$8</f>
        <v>450</v>
      </c>
      <c r="D19" s="13" t="s">
        <v>2</v>
      </c>
      <c r="E19" s="13"/>
      <c r="F19" s="32">
        <v>8</v>
      </c>
      <c r="G19" s="13"/>
      <c r="H19" s="18">
        <f t="shared" ref="H19:H25" si="1">$C$15*$F19</f>
        <v>0.2616</v>
      </c>
      <c r="I19" s="25" t="s">
        <v>10</v>
      </c>
    </row>
    <row r="20" spans="1:9" x14ac:dyDescent="0.5">
      <c r="A20" s="1"/>
      <c r="B20" s="24">
        <v>3</v>
      </c>
      <c r="C20" s="31">
        <f t="shared" si="0"/>
        <v>450</v>
      </c>
      <c r="D20" s="13" t="s">
        <v>2</v>
      </c>
      <c r="E20" s="13"/>
      <c r="F20" s="32">
        <v>7</v>
      </c>
      <c r="G20" s="13"/>
      <c r="H20" s="18">
        <f t="shared" si="1"/>
        <v>0.22889999999999999</v>
      </c>
      <c r="I20" s="25" t="s">
        <v>10</v>
      </c>
    </row>
    <row r="21" spans="1:9" x14ac:dyDescent="0.5">
      <c r="A21" s="1"/>
      <c r="B21" s="24">
        <v>4</v>
      </c>
      <c r="C21" s="31">
        <f t="shared" si="0"/>
        <v>450</v>
      </c>
      <c r="D21" s="13" t="s">
        <v>2</v>
      </c>
      <c r="E21" s="13"/>
      <c r="F21" s="32">
        <v>6</v>
      </c>
      <c r="G21" s="13"/>
      <c r="H21" s="18">
        <f t="shared" si="1"/>
        <v>0.19619999999999999</v>
      </c>
      <c r="I21" s="25" t="s">
        <v>10</v>
      </c>
    </row>
    <row r="22" spans="1:9" x14ac:dyDescent="0.5">
      <c r="A22" s="1"/>
      <c r="B22" s="24">
        <v>5</v>
      </c>
      <c r="C22" s="31">
        <f t="shared" si="0"/>
        <v>450</v>
      </c>
      <c r="D22" s="13" t="s">
        <v>2</v>
      </c>
      <c r="E22" s="13"/>
      <c r="F22" s="32">
        <v>5</v>
      </c>
      <c r="G22" s="13"/>
      <c r="H22" s="18">
        <f t="shared" si="1"/>
        <v>0.16350000000000001</v>
      </c>
      <c r="I22" s="25" t="s">
        <v>10</v>
      </c>
    </row>
    <row r="23" spans="1:9" x14ac:dyDescent="0.5">
      <c r="A23" s="1"/>
      <c r="B23" s="24">
        <v>6</v>
      </c>
      <c r="C23" s="31">
        <f t="shared" si="0"/>
        <v>450</v>
      </c>
      <c r="D23" s="13" t="s">
        <v>2</v>
      </c>
      <c r="E23" s="13"/>
      <c r="F23" s="32">
        <v>4</v>
      </c>
      <c r="G23" s="13"/>
      <c r="H23" s="18">
        <f t="shared" si="1"/>
        <v>0.1308</v>
      </c>
      <c r="I23" s="25" t="s">
        <v>10</v>
      </c>
    </row>
    <row r="24" spans="1:9" x14ac:dyDescent="0.5">
      <c r="A24" s="1"/>
      <c r="B24" s="24">
        <v>7</v>
      </c>
      <c r="C24" s="31">
        <f t="shared" si="0"/>
        <v>450</v>
      </c>
      <c r="D24" s="13" t="s">
        <v>2</v>
      </c>
      <c r="E24" s="13"/>
      <c r="F24" s="32">
        <v>3</v>
      </c>
      <c r="G24" s="13"/>
      <c r="H24" s="18">
        <f t="shared" si="1"/>
        <v>9.8099999999999993E-2</v>
      </c>
      <c r="I24" s="25" t="s">
        <v>10</v>
      </c>
    </row>
    <row r="25" spans="1:9" x14ac:dyDescent="0.5">
      <c r="A25" s="1"/>
      <c r="B25" s="24">
        <v>8</v>
      </c>
      <c r="C25" s="31">
        <f t="shared" si="0"/>
        <v>450</v>
      </c>
      <c r="D25" s="13" t="s">
        <v>2</v>
      </c>
      <c r="E25" s="13"/>
      <c r="F25" s="32">
        <v>3</v>
      </c>
      <c r="G25" s="13"/>
      <c r="H25" s="18">
        <f t="shared" si="1"/>
        <v>9.8099999999999993E-2</v>
      </c>
      <c r="I25" s="25" t="s">
        <v>10</v>
      </c>
    </row>
    <row r="26" spans="1:9" x14ac:dyDescent="0.5">
      <c r="B26" s="24" t="s">
        <v>0</v>
      </c>
      <c r="C26" s="33">
        <f>ROUND((SUM(C18:C25)/1000),2)</f>
        <v>3.6</v>
      </c>
      <c r="D26" s="13" t="s">
        <v>1</v>
      </c>
      <c r="E26" s="13" t="s">
        <v>62</v>
      </c>
      <c r="F26" s="34">
        <f>SUM(F18:F25)</f>
        <v>44</v>
      </c>
      <c r="G26" s="12" t="s">
        <v>9</v>
      </c>
      <c r="H26" s="18">
        <f>SUM(H18:H25)</f>
        <v>1.4388000000000001</v>
      </c>
      <c r="I26" s="25" t="s">
        <v>10</v>
      </c>
    </row>
    <row r="27" spans="1:9" x14ac:dyDescent="0.5">
      <c r="B27" s="24"/>
      <c r="C27" s="13"/>
      <c r="D27" s="13"/>
      <c r="E27" s="13"/>
      <c r="F27" s="13"/>
      <c r="G27" s="13"/>
      <c r="H27" s="35"/>
      <c r="I27" s="25"/>
    </row>
    <row r="28" spans="1:9" x14ac:dyDescent="0.5">
      <c r="B28" s="24" t="s">
        <v>11</v>
      </c>
      <c r="C28" s="36">
        <f>C18*$F$26/1000</f>
        <v>19.8</v>
      </c>
      <c r="D28" s="13" t="s">
        <v>1</v>
      </c>
      <c r="E28" s="13"/>
      <c r="F28" s="13"/>
      <c r="G28" s="14" t="s">
        <v>12</v>
      </c>
      <c r="H28" s="37"/>
      <c r="I28" s="45" t="s">
        <v>10</v>
      </c>
    </row>
    <row r="29" spans="1:9" x14ac:dyDescent="0.5">
      <c r="B29" s="24"/>
      <c r="C29" s="13"/>
      <c r="D29" s="13"/>
      <c r="E29" s="13"/>
      <c r="F29" s="13"/>
      <c r="G29" s="14"/>
      <c r="H29" s="38"/>
      <c r="I29" s="45"/>
    </row>
    <row r="30" spans="1:9" x14ac:dyDescent="0.5">
      <c r="B30" s="24"/>
      <c r="C30" s="13"/>
      <c r="D30" s="13"/>
      <c r="E30" s="13"/>
      <c r="F30" s="13"/>
      <c r="G30" s="34"/>
      <c r="H30" s="39"/>
      <c r="I30" s="46"/>
    </row>
    <row r="31" spans="1:9" x14ac:dyDescent="0.5">
      <c r="B31" s="47" t="s">
        <v>77</v>
      </c>
      <c r="C31" s="40"/>
      <c r="D31" s="13"/>
      <c r="E31" s="13"/>
      <c r="F31" s="13"/>
      <c r="G31" s="13"/>
      <c r="H31" s="13"/>
      <c r="I31" s="25"/>
    </row>
    <row r="32" spans="1:9" x14ac:dyDescent="0.5">
      <c r="B32" s="24" t="s">
        <v>0</v>
      </c>
      <c r="C32" s="15">
        <v>3.6</v>
      </c>
      <c r="D32" s="13" t="s">
        <v>1</v>
      </c>
      <c r="E32" s="12"/>
      <c r="F32" s="13"/>
      <c r="G32" s="12"/>
      <c r="H32" s="12"/>
      <c r="I32" s="25"/>
    </row>
    <row r="33" spans="2:9" x14ac:dyDescent="0.5">
      <c r="B33" s="24"/>
      <c r="C33" s="40"/>
      <c r="D33" s="12" t="s">
        <v>13</v>
      </c>
      <c r="E33" s="12" t="s">
        <v>75</v>
      </c>
      <c r="F33" s="13"/>
      <c r="G33" s="49" t="s">
        <v>76</v>
      </c>
      <c r="H33" s="49"/>
      <c r="I33" s="25"/>
    </row>
    <row r="34" spans="2:9" x14ac:dyDescent="0.5">
      <c r="B34" s="24" t="s">
        <v>67</v>
      </c>
      <c r="C34" s="41">
        <v>2</v>
      </c>
      <c r="D34" s="35">
        <f>VLOOKUP(C34,各種換算・対応表!A2:D18,4,FALSE)</f>
        <v>0.23499999999999999</v>
      </c>
      <c r="E34" s="42">
        <f>ROUND((D34/2)*(D34/2)*3.1416,5)</f>
        <v>4.3369999999999999E-2</v>
      </c>
      <c r="F34" s="13"/>
      <c r="G34" s="12"/>
      <c r="H34" s="39">
        <f>ROUND($E34*$C$32*1000*$C$41,5)</f>
        <v>0.27790999999999999</v>
      </c>
      <c r="I34" s="25" t="s">
        <v>10</v>
      </c>
    </row>
    <row r="35" spans="2:9" x14ac:dyDescent="0.5">
      <c r="B35" s="24" t="s">
        <v>67</v>
      </c>
      <c r="C35" s="12">
        <v>3</v>
      </c>
      <c r="D35" s="35">
        <f>VLOOKUP(C35,各種換算・対応表!A3:D19,4,FALSE)</f>
        <v>0.28499999999999998</v>
      </c>
      <c r="E35" s="42">
        <f>ROUND((D35/2)*(D35/2)*3.1416,5)</f>
        <v>6.3789999999999999E-2</v>
      </c>
      <c r="F35" s="13"/>
      <c r="G35" s="12"/>
      <c r="H35" s="39">
        <f>ROUND($E35*$C$32*1000*$C$41,5)</f>
        <v>0.40877000000000002</v>
      </c>
      <c r="I35" s="25" t="s">
        <v>10</v>
      </c>
    </row>
    <row r="36" spans="2:9" x14ac:dyDescent="0.5">
      <c r="B36" s="24" t="s">
        <v>67</v>
      </c>
      <c r="C36" s="12">
        <v>3.5</v>
      </c>
      <c r="D36" s="35">
        <f>VLOOKUP(C36,各種換算・対応表!A4:D20,4,FALSE)</f>
        <v>0.31</v>
      </c>
      <c r="E36" s="42">
        <f t="shared" ref="E36:E38" si="2">ROUND((D36/2)*(D36/2)*3.1416,5)</f>
        <v>7.5480000000000005E-2</v>
      </c>
      <c r="F36" s="13"/>
      <c r="G36" s="12"/>
      <c r="H36" s="39">
        <f t="shared" ref="H36:H38" si="3">ROUND($E36*$C$32*1000*$C$41,5)</f>
        <v>0.48368</v>
      </c>
      <c r="I36" s="25" t="s">
        <v>10</v>
      </c>
    </row>
    <row r="37" spans="2:9" x14ac:dyDescent="0.5">
      <c r="B37" s="24" t="s">
        <v>67</v>
      </c>
      <c r="C37" s="13">
        <v>4</v>
      </c>
      <c r="D37" s="35">
        <f>VLOOKUP(C37,各種換算・対応表!A5:D21,4,FALSE)</f>
        <v>0.33</v>
      </c>
      <c r="E37" s="42">
        <f t="shared" si="2"/>
        <v>8.5529999999999995E-2</v>
      </c>
      <c r="F37" s="13"/>
      <c r="G37" s="13"/>
      <c r="H37" s="39">
        <f t="shared" si="3"/>
        <v>0.54808000000000001</v>
      </c>
      <c r="I37" s="25" t="s">
        <v>10</v>
      </c>
    </row>
    <row r="38" spans="2:9" x14ac:dyDescent="0.5">
      <c r="B38" s="24" t="s">
        <v>67</v>
      </c>
      <c r="C38" s="13">
        <v>5</v>
      </c>
      <c r="D38" s="35">
        <f>VLOOKUP(C38,各種換算・対応表!A6:D22,4,FALSE)</f>
        <v>0.37</v>
      </c>
      <c r="E38" s="42">
        <f t="shared" si="2"/>
        <v>0.10752</v>
      </c>
      <c r="F38" s="13"/>
      <c r="G38" s="13"/>
      <c r="H38" s="39">
        <f t="shared" si="3"/>
        <v>0.68898999999999999</v>
      </c>
      <c r="I38" s="25" t="s">
        <v>10</v>
      </c>
    </row>
    <row r="39" spans="2:9" x14ac:dyDescent="0.5">
      <c r="B39" s="24"/>
      <c r="C39" s="13"/>
      <c r="D39" s="13"/>
      <c r="E39" s="13"/>
      <c r="F39" s="13"/>
      <c r="G39" s="13"/>
      <c r="H39" s="13"/>
      <c r="I39" s="25"/>
    </row>
    <row r="40" spans="2:9" x14ac:dyDescent="0.5">
      <c r="B40" s="24" t="s">
        <v>79</v>
      </c>
      <c r="C40" s="13">
        <v>1.78</v>
      </c>
      <c r="D40" s="13"/>
      <c r="E40" s="13"/>
      <c r="F40" s="13"/>
      <c r="G40" s="13"/>
      <c r="H40" s="13"/>
      <c r="I40" s="25"/>
    </row>
    <row r="41" spans="2:9" ht="23.25" thickBot="1" x14ac:dyDescent="0.55000000000000004">
      <c r="B41" s="27" t="s">
        <v>78</v>
      </c>
      <c r="C41" s="48">
        <f>ROUND($C$40*0.001,5)</f>
        <v>1.7799999999999999E-3</v>
      </c>
      <c r="D41" s="48" t="s">
        <v>10</v>
      </c>
      <c r="E41" s="48"/>
      <c r="F41" s="48"/>
      <c r="G41" s="48"/>
      <c r="H41" s="48"/>
      <c r="I41" s="29"/>
    </row>
  </sheetData>
  <mergeCells count="1">
    <mergeCell ref="G33:H3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9"/>
  <sheetViews>
    <sheetView topLeftCell="A4" zoomScale="110" zoomScaleNormal="110" workbookViewId="0">
      <selection activeCell="P26" sqref="P26"/>
    </sheetView>
  </sheetViews>
  <sheetFormatPr defaultRowHeight="22.5" x14ac:dyDescent="0.5"/>
  <cols>
    <col min="1" max="1" width="5.58203125" customWidth="1"/>
    <col min="2" max="2" width="22.83203125" customWidth="1"/>
    <col min="3" max="4" width="12.1640625" customWidth="1"/>
    <col min="5" max="5" width="14.332031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74</v>
      </c>
      <c r="C2" s="7"/>
      <c r="D2" t="s">
        <v>73</v>
      </c>
      <c r="E2" s="10" t="s">
        <v>81</v>
      </c>
    </row>
    <row r="3" spans="2:7" ht="23.25" thickBot="1" x14ac:dyDescent="0.55000000000000004">
      <c r="B3" s="8"/>
      <c r="C3" s="7"/>
    </row>
    <row r="4" spans="2:7" x14ac:dyDescent="0.5">
      <c r="B4" s="21" t="s">
        <v>15</v>
      </c>
      <c r="C4" s="22" t="s">
        <v>16</v>
      </c>
      <c r="D4" s="23"/>
      <c r="E4" s="7"/>
      <c r="F4" s="9"/>
    </row>
    <row r="5" spans="2:7" x14ac:dyDescent="0.5">
      <c r="B5" s="24" t="s">
        <v>59</v>
      </c>
      <c r="C5" s="14">
        <v>2</v>
      </c>
      <c r="D5" s="25" t="s">
        <v>67</v>
      </c>
    </row>
    <row r="6" spans="2:7" x14ac:dyDescent="0.5">
      <c r="B6" s="24" t="s">
        <v>68</v>
      </c>
      <c r="C6" s="15">
        <v>3.6</v>
      </c>
      <c r="D6" s="25" t="s">
        <v>1</v>
      </c>
    </row>
    <row r="7" spans="2:7" x14ac:dyDescent="0.5">
      <c r="B7" s="24" t="s">
        <v>60</v>
      </c>
      <c r="C7" s="16">
        <v>6</v>
      </c>
      <c r="D7" s="25"/>
    </row>
    <row r="8" spans="2:7" x14ac:dyDescent="0.5">
      <c r="B8" s="24" t="s">
        <v>63</v>
      </c>
      <c r="C8" s="17">
        <f>ROUND(C6*1000/C7,0)</f>
        <v>600</v>
      </c>
      <c r="D8" s="25" t="s">
        <v>2</v>
      </c>
    </row>
    <row r="9" spans="2:7" x14ac:dyDescent="0.5">
      <c r="B9" s="24" t="s">
        <v>14</v>
      </c>
      <c r="C9" s="18">
        <f>VLOOKUP(C5,各種換算・対応表!A3:D19,4,FALSE)</f>
        <v>0.23499999999999999</v>
      </c>
      <c r="D9" s="25" t="s">
        <v>2</v>
      </c>
    </row>
    <row r="10" spans="2:7" x14ac:dyDescent="0.5">
      <c r="B10" s="24" t="s">
        <v>3</v>
      </c>
      <c r="C10" s="18">
        <f>ROUND($C$9/2,4)</f>
        <v>0.11749999999999999</v>
      </c>
      <c r="D10" s="25" t="s">
        <v>2</v>
      </c>
    </row>
    <row r="11" spans="2:7" x14ac:dyDescent="0.5">
      <c r="B11" s="24" t="s">
        <v>4</v>
      </c>
      <c r="C11" s="18">
        <f>ROUND($C$10*$C$10*3.1416,4)</f>
        <v>4.3400000000000001E-2</v>
      </c>
      <c r="D11" s="25" t="s">
        <v>69</v>
      </c>
    </row>
    <row r="12" spans="2:7" x14ac:dyDescent="0.5">
      <c r="B12" s="24" t="s">
        <v>5</v>
      </c>
      <c r="C12" s="19">
        <v>1.1399999999999999</v>
      </c>
      <c r="D12" s="25"/>
    </row>
    <row r="13" spans="2:7" x14ac:dyDescent="0.5">
      <c r="B13" s="24" t="s">
        <v>64</v>
      </c>
      <c r="C13" s="20">
        <f>ROUND($C$12*0.001,5)</f>
        <v>1.14E-3</v>
      </c>
      <c r="D13" s="26" t="s">
        <v>10</v>
      </c>
      <c r="E13" s="11" t="s">
        <v>65</v>
      </c>
      <c r="F13" s="9"/>
      <c r="G13" s="5"/>
    </row>
    <row r="14" spans="2:7" x14ac:dyDescent="0.5">
      <c r="B14" s="24" t="s">
        <v>6</v>
      </c>
      <c r="C14" s="18">
        <f>ROUND($C$8*$C$11,4)</f>
        <v>26.04</v>
      </c>
      <c r="D14" s="25" t="s">
        <v>70</v>
      </c>
      <c r="E14" s="30" t="s">
        <v>72</v>
      </c>
    </row>
    <row r="15" spans="2:7" ht="23.25" thickBot="1" x14ac:dyDescent="0.55000000000000004">
      <c r="B15" s="27" t="s">
        <v>61</v>
      </c>
      <c r="C15" s="28">
        <f>ROUND(C14*C12/1000,4)</f>
        <v>2.9700000000000001E-2</v>
      </c>
      <c r="D15" s="29" t="s">
        <v>10</v>
      </c>
      <c r="E15" s="30" t="s">
        <v>71</v>
      </c>
    </row>
    <row r="16" spans="2:7" ht="23.25" thickBot="1" x14ac:dyDescent="0.55000000000000004">
      <c r="C16" s="7"/>
    </row>
    <row r="17" spans="1:9" x14ac:dyDescent="0.5">
      <c r="B17" s="21" t="s">
        <v>58</v>
      </c>
      <c r="C17" s="43" t="s">
        <v>7</v>
      </c>
      <c r="D17" s="44"/>
      <c r="E17" s="44"/>
      <c r="F17" s="44"/>
      <c r="G17" s="44"/>
      <c r="H17" s="44"/>
      <c r="I17" s="23"/>
    </row>
    <row r="18" spans="1:9" x14ac:dyDescent="0.5">
      <c r="A18" s="1"/>
      <c r="B18" s="24">
        <v>1</v>
      </c>
      <c r="C18" s="31">
        <f>$C$8</f>
        <v>600</v>
      </c>
      <c r="D18" s="13" t="s">
        <v>2</v>
      </c>
      <c r="E18" s="12" t="s">
        <v>8</v>
      </c>
      <c r="F18" s="32">
        <v>8</v>
      </c>
      <c r="G18" s="12" t="s">
        <v>80</v>
      </c>
      <c r="H18" s="18">
        <f>ROUND($C$15,5)*$F18</f>
        <v>0.23760000000000001</v>
      </c>
      <c r="I18" s="25" t="s">
        <v>10</v>
      </c>
    </row>
    <row r="19" spans="1:9" x14ac:dyDescent="0.5">
      <c r="A19" s="1"/>
      <c r="B19" s="24">
        <v>2</v>
      </c>
      <c r="C19" s="31">
        <f t="shared" ref="C19:C23" si="0">$C$8</f>
        <v>600</v>
      </c>
      <c r="D19" s="13" t="s">
        <v>2</v>
      </c>
      <c r="E19" s="13"/>
      <c r="F19" s="32">
        <v>7</v>
      </c>
      <c r="G19" s="13"/>
      <c r="H19" s="18">
        <f t="shared" ref="H19:H23" si="1">$C$15*$F19</f>
        <v>0.2079</v>
      </c>
      <c r="I19" s="25" t="s">
        <v>10</v>
      </c>
    </row>
    <row r="20" spans="1:9" x14ac:dyDescent="0.5">
      <c r="A20" s="1"/>
      <c r="B20" s="24">
        <v>3</v>
      </c>
      <c r="C20" s="31">
        <f t="shared" si="0"/>
        <v>600</v>
      </c>
      <c r="D20" s="13" t="s">
        <v>2</v>
      </c>
      <c r="E20" s="13"/>
      <c r="F20" s="32">
        <v>6</v>
      </c>
      <c r="G20" s="13"/>
      <c r="H20" s="18">
        <f t="shared" si="1"/>
        <v>0.1782</v>
      </c>
      <c r="I20" s="25" t="s">
        <v>10</v>
      </c>
    </row>
    <row r="21" spans="1:9" x14ac:dyDescent="0.5">
      <c r="A21" s="1"/>
      <c r="B21" s="24">
        <v>4</v>
      </c>
      <c r="C21" s="31">
        <f t="shared" si="0"/>
        <v>600</v>
      </c>
      <c r="D21" s="13" t="s">
        <v>2</v>
      </c>
      <c r="E21" s="13"/>
      <c r="F21" s="32">
        <v>5</v>
      </c>
      <c r="G21" s="13"/>
      <c r="H21" s="18">
        <f t="shared" si="1"/>
        <v>0.14849999999999999</v>
      </c>
      <c r="I21" s="25" t="s">
        <v>10</v>
      </c>
    </row>
    <row r="22" spans="1:9" x14ac:dyDescent="0.5">
      <c r="A22" s="1"/>
      <c r="B22" s="24">
        <v>5</v>
      </c>
      <c r="C22" s="31">
        <f t="shared" si="0"/>
        <v>600</v>
      </c>
      <c r="D22" s="13" t="s">
        <v>2</v>
      </c>
      <c r="E22" s="13"/>
      <c r="F22" s="32">
        <v>4</v>
      </c>
      <c r="G22" s="13"/>
      <c r="H22" s="18">
        <f t="shared" si="1"/>
        <v>0.1188</v>
      </c>
      <c r="I22" s="25" t="s">
        <v>10</v>
      </c>
    </row>
    <row r="23" spans="1:9" x14ac:dyDescent="0.5">
      <c r="A23" s="1"/>
      <c r="B23" s="24">
        <v>6</v>
      </c>
      <c r="C23" s="31">
        <f t="shared" si="0"/>
        <v>600</v>
      </c>
      <c r="D23" s="13" t="s">
        <v>2</v>
      </c>
      <c r="E23" s="13"/>
      <c r="F23" s="32">
        <v>3</v>
      </c>
      <c r="G23" s="13"/>
      <c r="H23" s="18">
        <f t="shared" si="1"/>
        <v>8.9099999999999999E-2</v>
      </c>
      <c r="I23" s="25" t="s">
        <v>10</v>
      </c>
    </row>
    <row r="24" spans="1:9" x14ac:dyDescent="0.5">
      <c r="B24" s="24" t="s">
        <v>0</v>
      </c>
      <c r="C24" s="33">
        <f>ROUND((SUM(C18:C23)/1000),2)</f>
        <v>3.6</v>
      </c>
      <c r="D24" s="13" t="s">
        <v>1</v>
      </c>
      <c r="E24" s="13" t="s">
        <v>62</v>
      </c>
      <c r="F24" s="34">
        <f>SUM(F18:F23)</f>
        <v>33</v>
      </c>
      <c r="G24" s="12" t="s">
        <v>9</v>
      </c>
      <c r="H24" s="18">
        <f>SUM(H18:H23)</f>
        <v>0.98009999999999997</v>
      </c>
      <c r="I24" s="25" t="s">
        <v>10</v>
      </c>
    </row>
    <row r="25" spans="1:9" x14ac:dyDescent="0.5">
      <c r="B25" s="24"/>
      <c r="C25" s="13"/>
      <c r="D25" s="13"/>
      <c r="E25" s="13"/>
      <c r="F25" s="13"/>
      <c r="G25" s="13"/>
      <c r="H25" s="35"/>
      <c r="I25" s="25"/>
    </row>
    <row r="26" spans="1:9" x14ac:dyDescent="0.5">
      <c r="B26" s="24" t="s">
        <v>11</v>
      </c>
      <c r="C26" s="36">
        <f>C18*$F$24/1000</f>
        <v>19.8</v>
      </c>
      <c r="D26" s="13" t="s">
        <v>1</v>
      </c>
      <c r="E26" s="13"/>
      <c r="F26" s="13"/>
      <c r="G26" s="14" t="s">
        <v>12</v>
      </c>
      <c r="H26" s="37"/>
      <c r="I26" s="45" t="s">
        <v>10</v>
      </c>
    </row>
    <row r="27" spans="1:9" x14ac:dyDescent="0.5">
      <c r="B27" s="24"/>
      <c r="C27" s="13"/>
      <c r="D27" s="13"/>
      <c r="E27" s="13"/>
      <c r="F27" s="13"/>
      <c r="G27" s="14"/>
      <c r="H27" s="38"/>
      <c r="I27" s="45"/>
    </row>
    <row r="28" spans="1:9" x14ac:dyDescent="0.5">
      <c r="B28" s="24"/>
      <c r="C28" s="13"/>
      <c r="D28" s="13"/>
      <c r="E28" s="13"/>
      <c r="F28" s="13"/>
      <c r="G28" s="34"/>
      <c r="H28" s="39"/>
      <c r="I28" s="46"/>
    </row>
    <row r="29" spans="1:9" x14ac:dyDescent="0.5">
      <c r="B29" s="47" t="s">
        <v>77</v>
      </c>
      <c r="C29" s="40"/>
      <c r="D29" s="13"/>
      <c r="E29" s="13"/>
      <c r="F29" s="13"/>
      <c r="G29" s="13"/>
      <c r="H29" s="13"/>
      <c r="I29" s="25"/>
    </row>
    <row r="30" spans="1:9" x14ac:dyDescent="0.5">
      <c r="B30" s="24" t="s">
        <v>0</v>
      </c>
      <c r="C30" s="15">
        <v>3.6</v>
      </c>
      <c r="D30" s="13" t="s">
        <v>1</v>
      </c>
      <c r="E30" s="12"/>
      <c r="F30" s="13"/>
      <c r="G30" s="12"/>
      <c r="H30" s="12"/>
      <c r="I30" s="25"/>
    </row>
    <row r="31" spans="1:9" x14ac:dyDescent="0.5">
      <c r="B31" s="24"/>
      <c r="C31" s="40"/>
      <c r="D31" s="12" t="s">
        <v>13</v>
      </c>
      <c r="E31" s="12" t="s">
        <v>75</v>
      </c>
      <c r="F31" s="13"/>
      <c r="G31" s="49" t="s">
        <v>76</v>
      </c>
      <c r="H31" s="49"/>
      <c r="I31" s="25"/>
    </row>
    <row r="32" spans="1:9" x14ac:dyDescent="0.5">
      <c r="B32" s="24" t="s">
        <v>67</v>
      </c>
      <c r="C32" s="41">
        <v>2</v>
      </c>
      <c r="D32" s="35">
        <f>VLOOKUP(C32,各種換算・対応表!A2:D18,4,FALSE)</f>
        <v>0.23499999999999999</v>
      </c>
      <c r="E32" s="42">
        <f>ROUND((D32/2)*(D32/2)*3.1416,5)</f>
        <v>4.3369999999999999E-2</v>
      </c>
      <c r="F32" s="13"/>
      <c r="G32" s="12"/>
      <c r="H32" s="39">
        <f>ROUND($E32*$C$30*1000*$C$39,5)</f>
        <v>0.27790999999999999</v>
      </c>
      <c r="I32" s="25" t="s">
        <v>10</v>
      </c>
    </row>
    <row r="33" spans="2:9" x14ac:dyDescent="0.5">
      <c r="B33" s="24" t="s">
        <v>67</v>
      </c>
      <c r="C33" s="12">
        <v>3</v>
      </c>
      <c r="D33" s="35">
        <f>VLOOKUP(C33,各種換算・対応表!A3:D19,4,FALSE)</f>
        <v>0.28499999999999998</v>
      </c>
      <c r="E33" s="42">
        <f>ROUND((D33/2)*(D33/2)*3.1416,5)</f>
        <v>6.3789999999999999E-2</v>
      </c>
      <c r="F33" s="13"/>
      <c r="G33" s="12"/>
      <c r="H33" s="39">
        <f>ROUND($E33*$C$30*1000*$C$39,5)</f>
        <v>0.40877000000000002</v>
      </c>
      <c r="I33" s="25" t="s">
        <v>10</v>
      </c>
    </row>
    <row r="34" spans="2:9" x14ac:dyDescent="0.5">
      <c r="B34" s="24" t="s">
        <v>67</v>
      </c>
      <c r="C34" s="12">
        <v>3.5</v>
      </c>
      <c r="D34" s="35">
        <f>VLOOKUP(C34,各種換算・対応表!A4:D20,4,FALSE)</f>
        <v>0.31</v>
      </c>
      <c r="E34" s="42">
        <f t="shared" ref="E34:E36" si="2">ROUND((D34/2)*(D34/2)*3.1416,5)</f>
        <v>7.5480000000000005E-2</v>
      </c>
      <c r="F34" s="13"/>
      <c r="G34" s="12"/>
      <c r="H34" s="39">
        <f t="shared" ref="H34:H36" si="3">ROUND($E34*$C$30*1000*$C$39,5)</f>
        <v>0.48368</v>
      </c>
      <c r="I34" s="25" t="s">
        <v>10</v>
      </c>
    </row>
    <row r="35" spans="2:9" x14ac:dyDescent="0.5">
      <c r="B35" s="24" t="s">
        <v>67</v>
      </c>
      <c r="C35" s="13">
        <v>4</v>
      </c>
      <c r="D35" s="35">
        <f>VLOOKUP(C35,各種換算・対応表!A5:D21,4,FALSE)</f>
        <v>0.33</v>
      </c>
      <c r="E35" s="42">
        <f t="shared" si="2"/>
        <v>8.5529999999999995E-2</v>
      </c>
      <c r="F35" s="13"/>
      <c r="G35" s="13"/>
      <c r="H35" s="39">
        <f t="shared" si="3"/>
        <v>0.54808000000000001</v>
      </c>
      <c r="I35" s="25" t="s">
        <v>10</v>
      </c>
    </row>
    <row r="36" spans="2:9" x14ac:dyDescent="0.5">
      <c r="B36" s="24" t="s">
        <v>67</v>
      </c>
      <c r="C36" s="13">
        <v>5</v>
      </c>
      <c r="D36" s="35">
        <f>VLOOKUP(C36,各種換算・対応表!A6:D22,4,FALSE)</f>
        <v>0.37</v>
      </c>
      <c r="E36" s="42">
        <f t="shared" si="2"/>
        <v>0.10752</v>
      </c>
      <c r="F36" s="13"/>
      <c r="G36" s="13"/>
      <c r="H36" s="39">
        <f t="shared" si="3"/>
        <v>0.68898999999999999</v>
      </c>
      <c r="I36" s="25" t="s">
        <v>10</v>
      </c>
    </row>
    <row r="37" spans="2:9" x14ac:dyDescent="0.5">
      <c r="B37" s="24"/>
      <c r="C37" s="13"/>
      <c r="D37" s="13"/>
      <c r="E37" s="13"/>
      <c r="F37" s="13"/>
      <c r="G37" s="13"/>
      <c r="H37" s="13"/>
      <c r="I37" s="25"/>
    </row>
    <row r="38" spans="2:9" x14ac:dyDescent="0.5">
      <c r="B38" s="24" t="s">
        <v>79</v>
      </c>
      <c r="C38" s="13">
        <v>1.78</v>
      </c>
      <c r="D38" s="13"/>
      <c r="E38" s="13"/>
      <c r="F38" s="13"/>
      <c r="G38" s="13"/>
      <c r="H38" s="13"/>
      <c r="I38" s="25"/>
    </row>
    <row r="39" spans="2:9" ht="23.25" thickBot="1" x14ac:dyDescent="0.55000000000000004">
      <c r="B39" s="27" t="s">
        <v>78</v>
      </c>
      <c r="C39" s="48">
        <f>ROUND($C$38*0.001,5)</f>
        <v>1.7799999999999999E-3</v>
      </c>
      <c r="D39" s="48" t="s">
        <v>10</v>
      </c>
      <c r="E39" s="48"/>
      <c r="F39" s="48"/>
      <c r="G39" s="48"/>
      <c r="H39" s="48"/>
      <c r="I39" s="29"/>
    </row>
  </sheetData>
  <mergeCells count="1">
    <mergeCell ref="G31:H3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9"/>
  <sheetViews>
    <sheetView topLeftCell="A4" zoomScale="110" zoomScaleNormal="110" workbookViewId="0">
      <selection activeCell="P26" sqref="P26"/>
    </sheetView>
  </sheetViews>
  <sheetFormatPr defaultRowHeight="22.5" x14ac:dyDescent="0.5"/>
  <cols>
    <col min="1" max="1" width="5.58203125" customWidth="1"/>
    <col min="2" max="2" width="22.83203125" customWidth="1"/>
    <col min="3" max="4" width="12.1640625" customWidth="1"/>
    <col min="5" max="5" width="14.33203125" customWidth="1"/>
    <col min="6" max="6" width="4.83203125" customWidth="1"/>
    <col min="7" max="7" width="13.33203125" customWidth="1"/>
    <col min="8" max="8" width="9.4140625" customWidth="1"/>
    <col min="9" max="9" width="3.33203125" customWidth="1"/>
  </cols>
  <sheetData>
    <row r="2" spans="2:7" x14ac:dyDescent="0.5">
      <c r="B2" s="8" t="s">
        <v>74</v>
      </c>
      <c r="C2" s="7"/>
      <c r="D2" t="s">
        <v>73</v>
      </c>
      <c r="E2" s="10" t="s">
        <v>81</v>
      </c>
    </row>
    <row r="3" spans="2:7" ht="23.25" thickBot="1" x14ac:dyDescent="0.55000000000000004">
      <c r="B3" s="8"/>
      <c r="C3" s="7"/>
    </row>
    <row r="4" spans="2:7" x14ac:dyDescent="0.5">
      <c r="B4" s="21" t="s">
        <v>15</v>
      </c>
      <c r="C4" s="22" t="s">
        <v>16</v>
      </c>
      <c r="D4" s="23"/>
      <c r="E4" s="7"/>
      <c r="F4" s="9"/>
    </row>
    <row r="5" spans="2:7" x14ac:dyDescent="0.5">
      <c r="B5" s="24" t="s">
        <v>59</v>
      </c>
      <c r="C5" s="14">
        <v>3</v>
      </c>
      <c r="D5" s="25" t="s">
        <v>67</v>
      </c>
    </row>
    <row r="6" spans="2:7" x14ac:dyDescent="0.5">
      <c r="B6" s="24" t="s">
        <v>68</v>
      </c>
      <c r="C6" s="15">
        <v>3.6</v>
      </c>
      <c r="D6" s="25" t="s">
        <v>1</v>
      </c>
    </row>
    <row r="7" spans="2:7" x14ac:dyDescent="0.5">
      <c r="B7" s="24" t="s">
        <v>60</v>
      </c>
      <c r="C7" s="16">
        <v>6</v>
      </c>
      <c r="D7" s="25"/>
    </row>
    <row r="8" spans="2:7" x14ac:dyDescent="0.5">
      <c r="B8" s="24" t="s">
        <v>63</v>
      </c>
      <c r="C8" s="17">
        <f>ROUND(C6*1000/C7,0)</f>
        <v>600</v>
      </c>
      <c r="D8" s="25" t="s">
        <v>2</v>
      </c>
    </row>
    <row r="9" spans="2:7" x14ac:dyDescent="0.5">
      <c r="B9" s="24" t="s">
        <v>14</v>
      </c>
      <c r="C9" s="18">
        <f>VLOOKUP(C5,各種換算・対応表!A3:D19,4,FALSE)</f>
        <v>0.28499999999999998</v>
      </c>
      <c r="D9" s="25" t="s">
        <v>2</v>
      </c>
    </row>
    <row r="10" spans="2:7" x14ac:dyDescent="0.5">
      <c r="B10" s="24" t="s">
        <v>3</v>
      </c>
      <c r="C10" s="18">
        <f>ROUND($C$9/2,4)</f>
        <v>0.14249999999999999</v>
      </c>
      <c r="D10" s="25" t="s">
        <v>2</v>
      </c>
    </row>
    <row r="11" spans="2:7" x14ac:dyDescent="0.5">
      <c r="B11" s="24" t="s">
        <v>4</v>
      </c>
      <c r="C11" s="18">
        <f>ROUND($C$10*$C$10*3.1416,4)</f>
        <v>6.3799999999999996E-2</v>
      </c>
      <c r="D11" s="25" t="s">
        <v>69</v>
      </c>
    </row>
    <row r="12" spans="2:7" x14ac:dyDescent="0.5">
      <c r="B12" s="24" t="s">
        <v>5</v>
      </c>
      <c r="C12" s="19">
        <v>1.1399999999999999</v>
      </c>
      <c r="D12" s="25"/>
    </row>
    <row r="13" spans="2:7" x14ac:dyDescent="0.5">
      <c r="B13" s="24" t="s">
        <v>64</v>
      </c>
      <c r="C13" s="20">
        <f>ROUND($C$12*0.001,5)</f>
        <v>1.14E-3</v>
      </c>
      <c r="D13" s="26" t="s">
        <v>10</v>
      </c>
      <c r="E13" s="11" t="s">
        <v>65</v>
      </c>
      <c r="F13" s="9"/>
      <c r="G13" s="5"/>
    </row>
    <row r="14" spans="2:7" x14ac:dyDescent="0.5">
      <c r="B14" s="24" t="s">
        <v>6</v>
      </c>
      <c r="C14" s="18">
        <f>ROUND($C$8*$C$11,4)</f>
        <v>38.28</v>
      </c>
      <c r="D14" s="25" t="s">
        <v>70</v>
      </c>
      <c r="E14" s="30" t="s">
        <v>72</v>
      </c>
    </row>
    <row r="15" spans="2:7" ht="23.25" thickBot="1" x14ac:dyDescent="0.55000000000000004">
      <c r="B15" s="27" t="s">
        <v>61</v>
      </c>
      <c r="C15" s="28">
        <f>ROUND(C14*C12/1000,4)</f>
        <v>4.36E-2</v>
      </c>
      <c r="D15" s="29" t="s">
        <v>10</v>
      </c>
      <c r="E15" s="30" t="s">
        <v>71</v>
      </c>
    </row>
    <row r="16" spans="2:7" ht="23.25" thickBot="1" x14ac:dyDescent="0.55000000000000004">
      <c r="C16" s="7"/>
    </row>
    <row r="17" spans="1:9" x14ac:dyDescent="0.5">
      <c r="B17" s="21" t="s">
        <v>58</v>
      </c>
      <c r="C17" s="43" t="s">
        <v>7</v>
      </c>
      <c r="D17" s="44"/>
      <c r="E17" s="44"/>
      <c r="F17" s="44"/>
      <c r="G17" s="44"/>
      <c r="H17" s="44"/>
      <c r="I17" s="23"/>
    </row>
    <row r="18" spans="1:9" x14ac:dyDescent="0.5">
      <c r="A18" s="1"/>
      <c r="B18" s="24">
        <v>1</v>
      </c>
      <c r="C18" s="31">
        <f>$C$8</f>
        <v>600</v>
      </c>
      <c r="D18" s="13" t="s">
        <v>2</v>
      </c>
      <c r="E18" s="12" t="s">
        <v>8</v>
      </c>
      <c r="F18" s="32">
        <v>8</v>
      </c>
      <c r="G18" s="12" t="s">
        <v>80</v>
      </c>
      <c r="H18" s="18">
        <f>ROUND($C$15,5)*$F18</f>
        <v>0.3488</v>
      </c>
      <c r="I18" s="25" t="s">
        <v>10</v>
      </c>
    </row>
    <row r="19" spans="1:9" x14ac:dyDescent="0.5">
      <c r="A19" s="1"/>
      <c r="B19" s="24">
        <v>2</v>
      </c>
      <c r="C19" s="31">
        <f t="shared" ref="C19:C23" si="0">$C$8</f>
        <v>600</v>
      </c>
      <c r="D19" s="13" t="s">
        <v>2</v>
      </c>
      <c r="E19" s="13"/>
      <c r="F19" s="32">
        <v>7</v>
      </c>
      <c r="G19" s="13"/>
      <c r="H19" s="18">
        <f t="shared" ref="H19:H23" si="1">$C$15*$F19</f>
        <v>0.30520000000000003</v>
      </c>
      <c r="I19" s="25" t="s">
        <v>10</v>
      </c>
    </row>
    <row r="20" spans="1:9" x14ac:dyDescent="0.5">
      <c r="A20" s="1"/>
      <c r="B20" s="24">
        <v>3</v>
      </c>
      <c r="C20" s="31">
        <f t="shared" si="0"/>
        <v>600</v>
      </c>
      <c r="D20" s="13" t="s">
        <v>2</v>
      </c>
      <c r="E20" s="13"/>
      <c r="F20" s="32">
        <v>6</v>
      </c>
      <c r="G20" s="13"/>
      <c r="H20" s="18">
        <f t="shared" si="1"/>
        <v>0.2616</v>
      </c>
      <c r="I20" s="25" t="s">
        <v>10</v>
      </c>
    </row>
    <row r="21" spans="1:9" x14ac:dyDescent="0.5">
      <c r="A21" s="1"/>
      <c r="B21" s="24">
        <v>4</v>
      </c>
      <c r="C21" s="31">
        <f t="shared" si="0"/>
        <v>600</v>
      </c>
      <c r="D21" s="13" t="s">
        <v>2</v>
      </c>
      <c r="E21" s="13"/>
      <c r="F21" s="32">
        <v>5</v>
      </c>
      <c r="G21" s="13"/>
      <c r="H21" s="18">
        <f t="shared" si="1"/>
        <v>0.218</v>
      </c>
      <c r="I21" s="25" t="s">
        <v>10</v>
      </c>
    </row>
    <row r="22" spans="1:9" x14ac:dyDescent="0.5">
      <c r="A22" s="1"/>
      <c r="B22" s="24">
        <v>5</v>
      </c>
      <c r="C22" s="31">
        <f t="shared" si="0"/>
        <v>600</v>
      </c>
      <c r="D22" s="13" t="s">
        <v>2</v>
      </c>
      <c r="E22" s="13"/>
      <c r="F22" s="32">
        <v>4</v>
      </c>
      <c r="G22" s="13"/>
      <c r="H22" s="18">
        <f t="shared" si="1"/>
        <v>0.1744</v>
      </c>
      <c r="I22" s="25" t="s">
        <v>10</v>
      </c>
    </row>
    <row r="23" spans="1:9" x14ac:dyDescent="0.5">
      <c r="A23" s="1"/>
      <c r="B23" s="24">
        <v>6</v>
      </c>
      <c r="C23" s="31">
        <f t="shared" si="0"/>
        <v>600</v>
      </c>
      <c r="D23" s="13" t="s">
        <v>2</v>
      </c>
      <c r="E23" s="13"/>
      <c r="F23" s="32">
        <v>3</v>
      </c>
      <c r="G23" s="13"/>
      <c r="H23" s="18">
        <f t="shared" si="1"/>
        <v>0.1308</v>
      </c>
      <c r="I23" s="25" t="s">
        <v>10</v>
      </c>
    </row>
    <row r="24" spans="1:9" x14ac:dyDescent="0.5">
      <c r="B24" s="24" t="s">
        <v>0</v>
      </c>
      <c r="C24" s="33">
        <f>ROUND((SUM(C18:C23)/1000),2)</f>
        <v>3.6</v>
      </c>
      <c r="D24" s="13" t="s">
        <v>1</v>
      </c>
      <c r="E24" s="13" t="s">
        <v>62</v>
      </c>
      <c r="F24" s="34">
        <f>SUM(F18:F23)</f>
        <v>33</v>
      </c>
      <c r="G24" s="12" t="s">
        <v>9</v>
      </c>
      <c r="H24" s="18">
        <f>SUM(H18:H23)</f>
        <v>1.4387999999999999</v>
      </c>
      <c r="I24" s="25" t="s">
        <v>10</v>
      </c>
    </row>
    <row r="25" spans="1:9" x14ac:dyDescent="0.5">
      <c r="B25" s="24"/>
      <c r="C25" s="13"/>
      <c r="D25" s="13"/>
      <c r="E25" s="13"/>
      <c r="F25" s="13"/>
      <c r="G25" s="13"/>
      <c r="H25" s="35"/>
      <c r="I25" s="25"/>
    </row>
    <row r="26" spans="1:9" x14ac:dyDescent="0.5">
      <c r="B26" s="24" t="s">
        <v>11</v>
      </c>
      <c r="C26" s="36">
        <f>C18*$F$24/1000</f>
        <v>19.8</v>
      </c>
      <c r="D26" s="13" t="s">
        <v>1</v>
      </c>
      <c r="E26" s="13"/>
      <c r="F26" s="13"/>
      <c r="G26" s="14" t="s">
        <v>12</v>
      </c>
      <c r="H26" s="37"/>
      <c r="I26" s="45" t="s">
        <v>10</v>
      </c>
    </row>
    <row r="27" spans="1:9" x14ac:dyDescent="0.5">
      <c r="B27" s="24"/>
      <c r="C27" s="13"/>
      <c r="D27" s="13"/>
      <c r="E27" s="13"/>
      <c r="F27" s="13"/>
      <c r="G27" s="14"/>
      <c r="H27" s="38"/>
      <c r="I27" s="45"/>
    </row>
    <row r="28" spans="1:9" x14ac:dyDescent="0.5">
      <c r="B28" s="24"/>
      <c r="C28" s="13"/>
      <c r="D28" s="13"/>
      <c r="E28" s="13"/>
      <c r="F28" s="13"/>
      <c r="G28" s="34"/>
      <c r="H28" s="39"/>
      <c r="I28" s="46"/>
    </row>
    <row r="29" spans="1:9" x14ac:dyDescent="0.5">
      <c r="B29" s="47" t="s">
        <v>77</v>
      </c>
      <c r="C29" s="40"/>
      <c r="D29" s="13"/>
      <c r="E29" s="13"/>
      <c r="F29" s="13"/>
      <c r="G29" s="13"/>
      <c r="H29" s="13"/>
      <c r="I29" s="25"/>
    </row>
    <row r="30" spans="1:9" x14ac:dyDescent="0.5">
      <c r="B30" s="24" t="s">
        <v>0</v>
      </c>
      <c r="C30" s="15">
        <v>3.6</v>
      </c>
      <c r="D30" s="13" t="s">
        <v>1</v>
      </c>
      <c r="E30" s="12"/>
      <c r="F30" s="13"/>
      <c r="G30" s="12"/>
      <c r="H30" s="12"/>
      <c r="I30" s="25"/>
    </row>
    <row r="31" spans="1:9" x14ac:dyDescent="0.5">
      <c r="B31" s="24"/>
      <c r="C31" s="40"/>
      <c r="D31" s="12" t="s">
        <v>13</v>
      </c>
      <c r="E31" s="12" t="s">
        <v>75</v>
      </c>
      <c r="F31" s="13"/>
      <c r="G31" s="49" t="s">
        <v>76</v>
      </c>
      <c r="H31" s="49"/>
      <c r="I31" s="25"/>
    </row>
    <row r="32" spans="1:9" x14ac:dyDescent="0.5">
      <c r="B32" s="24" t="s">
        <v>67</v>
      </c>
      <c r="C32" s="41">
        <v>2</v>
      </c>
      <c r="D32" s="35">
        <f>VLOOKUP(C32,各種換算・対応表!A2:D18,4,FALSE)</f>
        <v>0.23499999999999999</v>
      </c>
      <c r="E32" s="42">
        <f>ROUND((D32/2)*(D32/2)*3.1416,5)</f>
        <v>4.3369999999999999E-2</v>
      </c>
      <c r="F32" s="13"/>
      <c r="G32" s="12"/>
      <c r="H32" s="39">
        <f>ROUND($E32*$C$30*1000*$C$39,5)</f>
        <v>0.27790999999999999</v>
      </c>
      <c r="I32" s="25" t="s">
        <v>10</v>
      </c>
    </row>
    <row r="33" spans="2:9" x14ac:dyDescent="0.5">
      <c r="B33" s="24" t="s">
        <v>67</v>
      </c>
      <c r="C33" s="12">
        <v>3</v>
      </c>
      <c r="D33" s="35">
        <f>VLOOKUP(C33,各種換算・対応表!A3:D19,4,FALSE)</f>
        <v>0.28499999999999998</v>
      </c>
      <c r="E33" s="42">
        <f>ROUND((D33/2)*(D33/2)*3.1416,5)</f>
        <v>6.3789999999999999E-2</v>
      </c>
      <c r="F33" s="13"/>
      <c r="G33" s="12"/>
      <c r="H33" s="39">
        <f>ROUND($E33*$C$30*1000*$C$39,5)</f>
        <v>0.40877000000000002</v>
      </c>
      <c r="I33" s="25" t="s">
        <v>10</v>
      </c>
    </row>
    <row r="34" spans="2:9" x14ac:dyDescent="0.5">
      <c r="B34" s="24" t="s">
        <v>67</v>
      </c>
      <c r="C34" s="12">
        <v>3.5</v>
      </c>
      <c r="D34" s="35">
        <f>VLOOKUP(C34,各種換算・対応表!A4:D20,4,FALSE)</f>
        <v>0.31</v>
      </c>
      <c r="E34" s="42">
        <f t="shared" ref="E34:E36" si="2">ROUND((D34/2)*(D34/2)*3.1416,5)</f>
        <v>7.5480000000000005E-2</v>
      </c>
      <c r="F34" s="13"/>
      <c r="G34" s="12"/>
      <c r="H34" s="39">
        <f t="shared" ref="H34:H36" si="3">ROUND($E34*$C$30*1000*$C$39,5)</f>
        <v>0.48368</v>
      </c>
      <c r="I34" s="25" t="s">
        <v>10</v>
      </c>
    </row>
    <row r="35" spans="2:9" x14ac:dyDescent="0.5">
      <c r="B35" s="24" t="s">
        <v>67</v>
      </c>
      <c r="C35" s="13">
        <v>4</v>
      </c>
      <c r="D35" s="35">
        <f>VLOOKUP(C35,各種換算・対応表!A5:D21,4,FALSE)</f>
        <v>0.33</v>
      </c>
      <c r="E35" s="42">
        <f t="shared" si="2"/>
        <v>8.5529999999999995E-2</v>
      </c>
      <c r="F35" s="13"/>
      <c r="G35" s="13"/>
      <c r="H35" s="39">
        <f t="shared" si="3"/>
        <v>0.54808000000000001</v>
      </c>
      <c r="I35" s="25" t="s">
        <v>10</v>
      </c>
    </row>
    <row r="36" spans="2:9" x14ac:dyDescent="0.5">
      <c r="B36" s="24" t="s">
        <v>67</v>
      </c>
      <c r="C36" s="13">
        <v>5</v>
      </c>
      <c r="D36" s="35">
        <f>VLOOKUP(C36,各種換算・対応表!A6:D22,4,FALSE)</f>
        <v>0.37</v>
      </c>
      <c r="E36" s="42">
        <f t="shared" si="2"/>
        <v>0.10752</v>
      </c>
      <c r="F36" s="13"/>
      <c r="G36" s="13"/>
      <c r="H36" s="39">
        <f t="shared" si="3"/>
        <v>0.68898999999999999</v>
      </c>
      <c r="I36" s="25" t="s">
        <v>10</v>
      </c>
    </row>
    <row r="37" spans="2:9" x14ac:dyDescent="0.5">
      <c r="B37" s="24"/>
      <c r="C37" s="13"/>
      <c r="D37" s="13"/>
      <c r="E37" s="13"/>
      <c r="F37" s="13"/>
      <c r="G37" s="13"/>
      <c r="H37" s="13"/>
      <c r="I37" s="25"/>
    </row>
    <row r="38" spans="2:9" x14ac:dyDescent="0.5">
      <c r="B38" s="24" t="s">
        <v>79</v>
      </c>
      <c r="C38" s="13">
        <v>1.78</v>
      </c>
      <c r="D38" s="13"/>
      <c r="E38" s="13"/>
      <c r="F38" s="13"/>
      <c r="G38" s="13"/>
      <c r="H38" s="13"/>
      <c r="I38" s="25"/>
    </row>
    <row r="39" spans="2:9" ht="23.25" thickBot="1" x14ac:dyDescent="0.55000000000000004">
      <c r="B39" s="27" t="s">
        <v>78</v>
      </c>
      <c r="C39" s="48">
        <f>ROUND($C$38*0.001,5)</f>
        <v>1.7799999999999999E-3</v>
      </c>
      <c r="D39" s="48" t="s">
        <v>10</v>
      </c>
      <c r="E39" s="48"/>
      <c r="F39" s="48"/>
      <c r="G39" s="48"/>
      <c r="H39" s="48"/>
      <c r="I39" s="29"/>
    </row>
  </sheetData>
  <mergeCells count="1">
    <mergeCell ref="G31:H3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workbookViewId="0">
      <selection activeCell="G17" sqref="G17"/>
    </sheetView>
  </sheetViews>
  <sheetFormatPr defaultRowHeight="22.5" x14ac:dyDescent="0.5"/>
  <cols>
    <col min="1" max="1" width="10.6640625" customWidth="1"/>
    <col min="2" max="2" width="17.4140625" customWidth="1"/>
    <col min="3" max="3" width="14.58203125" customWidth="1"/>
    <col min="4" max="4" width="12" customWidth="1"/>
    <col min="7" max="7" width="13.75" customWidth="1"/>
    <col min="8" max="8" width="12.75" customWidth="1"/>
  </cols>
  <sheetData>
    <row r="1" spans="1:9" ht="34.5" customHeight="1" x14ac:dyDescent="0.5">
      <c r="A1" s="50" t="s">
        <v>55</v>
      </c>
      <c r="B1" s="50"/>
      <c r="C1" s="50"/>
      <c r="D1" s="50"/>
      <c r="G1" t="s">
        <v>56</v>
      </c>
      <c r="I1" t="s">
        <v>5</v>
      </c>
    </row>
    <row r="2" spans="1:9" ht="36" customHeight="1" x14ac:dyDescent="0.5">
      <c r="A2" s="3" t="s">
        <v>17</v>
      </c>
      <c r="B2" s="4" t="s">
        <v>18</v>
      </c>
      <c r="C2" s="3" t="s">
        <v>19</v>
      </c>
      <c r="D2" s="4" t="s">
        <v>20</v>
      </c>
      <c r="H2" s="1" t="s">
        <v>16</v>
      </c>
      <c r="I2">
        <v>1.1399999999999999</v>
      </c>
    </row>
    <row r="3" spans="1:9" ht="36" customHeight="1" x14ac:dyDescent="0.5">
      <c r="A3" s="3">
        <v>0.25</v>
      </c>
      <c r="B3" s="4" t="s">
        <v>21</v>
      </c>
      <c r="C3" s="3" t="s">
        <v>22</v>
      </c>
      <c r="D3" s="4">
        <v>8.3000000000000004E-2</v>
      </c>
      <c r="H3" s="1" t="s">
        <v>57</v>
      </c>
      <c r="I3">
        <v>1.78</v>
      </c>
    </row>
    <row r="4" spans="1:9" ht="36" customHeight="1" x14ac:dyDescent="0.5">
      <c r="A4" s="3">
        <v>0.3</v>
      </c>
      <c r="B4" s="4" t="s">
        <v>23</v>
      </c>
      <c r="C4" s="2" t="s">
        <v>24</v>
      </c>
      <c r="D4" s="4">
        <v>0.09</v>
      </c>
    </row>
    <row r="5" spans="1:9" ht="36" customHeight="1" x14ac:dyDescent="0.5">
      <c r="A5" s="3">
        <v>0.4</v>
      </c>
      <c r="B5" s="4" t="s">
        <v>25</v>
      </c>
      <c r="C5" s="2" t="s">
        <v>26</v>
      </c>
      <c r="D5" s="4">
        <v>0.104</v>
      </c>
    </row>
    <row r="6" spans="1:9" ht="36" customHeight="1" x14ac:dyDescent="0.5">
      <c r="A6" s="3">
        <v>0.6</v>
      </c>
      <c r="B6" s="4" t="s">
        <v>27</v>
      </c>
      <c r="C6" s="2" t="s">
        <v>28</v>
      </c>
      <c r="D6" s="4">
        <v>0.128</v>
      </c>
    </row>
    <row r="7" spans="1:9" ht="36" customHeight="1" x14ac:dyDescent="0.5">
      <c r="A7" s="3">
        <v>0.8</v>
      </c>
      <c r="B7" s="4" t="s">
        <v>29</v>
      </c>
      <c r="C7" s="2" t="s">
        <v>30</v>
      </c>
      <c r="D7" s="4">
        <v>0.14799999999999999</v>
      </c>
    </row>
    <row r="8" spans="1:9" ht="36" customHeight="1" x14ac:dyDescent="0.5">
      <c r="A8" s="3">
        <v>1</v>
      </c>
      <c r="B8" s="4" t="s">
        <v>31</v>
      </c>
      <c r="C8" s="3" t="s">
        <v>32</v>
      </c>
      <c r="D8" s="4">
        <v>0.16500000000000001</v>
      </c>
    </row>
    <row r="9" spans="1:9" ht="36" customHeight="1" x14ac:dyDescent="0.5">
      <c r="A9" s="3">
        <v>1.2</v>
      </c>
      <c r="B9" s="4" t="s">
        <v>33</v>
      </c>
      <c r="C9" s="2" t="s">
        <v>34</v>
      </c>
      <c r="D9" s="4">
        <v>0.185</v>
      </c>
    </row>
    <row r="10" spans="1:9" ht="36" customHeight="1" x14ac:dyDescent="0.5">
      <c r="A10" s="3">
        <v>1.5</v>
      </c>
      <c r="B10" s="4" t="s">
        <v>35</v>
      </c>
      <c r="C10" s="2" t="s">
        <v>36</v>
      </c>
      <c r="D10" s="4">
        <v>0.20499999999999999</v>
      </c>
    </row>
    <row r="11" spans="1:9" ht="36" customHeight="1" x14ac:dyDescent="0.5">
      <c r="A11" s="3">
        <v>1.75</v>
      </c>
      <c r="B11" s="4" t="s">
        <v>37</v>
      </c>
      <c r="C11" s="2" t="s">
        <v>38</v>
      </c>
      <c r="D11" s="4">
        <v>0.22</v>
      </c>
    </row>
    <row r="12" spans="1:9" ht="36" customHeight="1" x14ac:dyDescent="0.5">
      <c r="A12" s="3">
        <v>2</v>
      </c>
      <c r="B12" s="4" t="s">
        <v>39</v>
      </c>
      <c r="C12" s="2" t="s">
        <v>40</v>
      </c>
      <c r="D12" s="4">
        <v>0.23499999999999999</v>
      </c>
    </row>
    <row r="13" spans="1:9" ht="36" customHeight="1" x14ac:dyDescent="0.5">
      <c r="A13" s="3">
        <v>2.25</v>
      </c>
      <c r="B13" s="4" t="s">
        <v>41</v>
      </c>
      <c r="C13" s="3" t="s">
        <v>42</v>
      </c>
      <c r="D13" s="4">
        <v>0.248</v>
      </c>
    </row>
    <row r="14" spans="1:9" ht="36" customHeight="1" x14ac:dyDescent="0.5">
      <c r="A14" s="3">
        <v>2.5</v>
      </c>
      <c r="B14" s="4" t="s">
        <v>43</v>
      </c>
      <c r="C14" s="2" t="s">
        <v>44</v>
      </c>
      <c r="D14" s="4">
        <v>0.26</v>
      </c>
    </row>
    <row r="15" spans="1:9" ht="36" customHeight="1" x14ac:dyDescent="0.5">
      <c r="A15" s="3">
        <v>2.75</v>
      </c>
      <c r="B15" s="4" t="s">
        <v>45</v>
      </c>
      <c r="C15" s="2" t="s">
        <v>46</v>
      </c>
      <c r="D15" s="4" t="s">
        <v>66</v>
      </c>
    </row>
    <row r="16" spans="1:9" ht="36" customHeight="1" x14ac:dyDescent="0.5">
      <c r="A16" s="3">
        <v>3</v>
      </c>
      <c r="B16" s="4" t="s">
        <v>47</v>
      </c>
      <c r="C16" s="2" t="s">
        <v>48</v>
      </c>
      <c r="D16" s="4">
        <v>0.28499999999999998</v>
      </c>
    </row>
    <row r="17" spans="1:4" ht="36" customHeight="1" x14ac:dyDescent="0.5">
      <c r="A17" s="3">
        <v>3.5</v>
      </c>
      <c r="B17" s="4" t="s">
        <v>49</v>
      </c>
      <c r="C17" s="3" t="s">
        <v>50</v>
      </c>
      <c r="D17" s="4">
        <v>0.31</v>
      </c>
    </row>
    <row r="18" spans="1:4" ht="36" customHeight="1" x14ac:dyDescent="0.5">
      <c r="A18" s="3">
        <v>4</v>
      </c>
      <c r="B18" s="4" t="s">
        <v>51</v>
      </c>
      <c r="C18" s="2" t="s">
        <v>52</v>
      </c>
      <c r="D18" s="4">
        <v>0.33</v>
      </c>
    </row>
    <row r="19" spans="1:4" ht="36" customHeight="1" x14ac:dyDescent="0.5">
      <c r="A19" s="3">
        <v>5</v>
      </c>
      <c r="B19" s="4" t="s">
        <v>53</v>
      </c>
      <c r="C19" s="3" t="s">
        <v>54</v>
      </c>
      <c r="D19" s="4">
        <v>0.37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L 3.6m, 8-sec, 標準</vt:lpstr>
      <vt:lpstr>L 3.6m, 8-sec, やや重め</vt:lpstr>
      <vt:lpstr>L 3.6m, 6-sec, 標準</vt:lpstr>
      <vt:lpstr>L 3.6m, 6-sec, やや重め</vt:lpstr>
      <vt:lpstr>各種換算・対応表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伊藤剛</dc:creator>
  <cp:lastModifiedBy>伊藤剛</cp:lastModifiedBy>
  <dcterms:created xsi:type="dcterms:W3CDTF">2021-05-08T22:40:51Z</dcterms:created>
  <dcterms:modified xsi:type="dcterms:W3CDTF">2021-10-20T21:31:53Z</dcterms:modified>
</cp:coreProperties>
</file>